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Ervan\P30\"/>
    </mc:Choice>
  </mc:AlternateContent>
  <workbookProtection workbookPassword="C696" lockStructure="1"/>
  <bookViews>
    <workbookView xWindow="0" yWindow="0" windowWidth="24000" windowHeight="9735" tabRatio="883" activeTab="1"/>
  </bookViews>
  <sheets>
    <sheet name="rev. 020712" sheetId="1" r:id="rId1"/>
    <sheet name="TM-21 Inputs" sheetId="2" r:id="rId2"/>
    <sheet name="Product Inputs" sheetId="3" state="hidden" r:id="rId3"/>
    <sheet name="TM-21 Projection" sheetId="4" state="hidden" r:id="rId4"/>
    <sheet name="TM-21 Report" sheetId="5" r:id="rId5"/>
    <sheet name="Hide when public ==&gt;" sheetId="6" state="hidden" r:id="rId6"/>
    <sheet name="Calculations - Case Temp 1" sheetId="7" state="hidden" r:id="rId7"/>
    <sheet name="Calculations - Case Temp 2" sheetId="8" state="hidden" r:id="rId8"/>
    <sheet name="Calculations - Case Temp 3" sheetId="9" state="hidden" r:id="rId9"/>
  </sheets>
  <definedNames>
    <definedName name="_xlnm.Print_Area" localSheetId="1">'TM-21 Inputs'!$A$1:$T$46</definedName>
  </definedNames>
  <calcPr calcId="152511"/>
</workbook>
</file>

<file path=xl/calcChain.xml><?xml version="1.0" encoding="utf-8"?>
<calcChain xmlns="http://schemas.openxmlformats.org/spreadsheetml/2006/main">
  <c r="E34" i="9" l="1"/>
  <c r="E33" i="9"/>
  <c r="E25" i="9"/>
  <c r="J25" i="9" s="1"/>
  <c r="J24" i="9"/>
  <c r="H24" i="9"/>
  <c r="F24" i="9"/>
  <c r="E24" i="9"/>
  <c r="I24" i="9" s="1"/>
  <c r="D24" i="9"/>
  <c r="E23" i="9"/>
  <c r="J23" i="9" s="1"/>
  <c r="J22" i="9"/>
  <c r="H22" i="9"/>
  <c r="F22" i="9"/>
  <c r="E22" i="9"/>
  <c r="I22" i="9" s="1"/>
  <c r="D22" i="9"/>
  <c r="E21" i="9"/>
  <c r="J21" i="9" s="1"/>
  <c r="J20" i="9"/>
  <c r="H20" i="9"/>
  <c r="F20" i="9"/>
  <c r="E20" i="9"/>
  <c r="I20" i="9" s="1"/>
  <c r="D20" i="9"/>
  <c r="E19" i="9"/>
  <c r="J19" i="9" s="1"/>
  <c r="J18" i="9"/>
  <c r="H18" i="9"/>
  <c r="F18" i="9"/>
  <c r="E18" i="9"/>
  <c r="I18" i="9" s="1"/>
  <c r="D18" i="9"/>
  <c r="E17" i="9"/>
  <c r="J17" i="9" s="1"/>
  <c r="J16" i="9"/>
  <c r="H16" i="9"/>
  <c r="F16" i="9"/>
  <c r="E16" i="9"/>
  <c r="I16" i="9" s="1"/>
  <c r="D16" i="9"/>
  <c r="E15" i="9"/>
  <c r="F14" i="9"/>
  <c r="E14" i="9"/>
  <c r="I14" i="9" s="1"/>
  <c r="D14" i="9"/>
  <c r="E13" i="9"/>
  <c r="F12" i="9"/>
  <c r="E12" i="9"/>
  <c r="I12" i="9" s="1"/>
  <c r="D12" i="9"/>
  <c r="E11" i="9"/>
  <c r="F10" i="9"/>
  <c r="E10" i="9"/>
  <c r="I10" i="9" s="1"/>
  <c r="D10" i="9"/>
  <c r="G9" i="9"/>
  <c r="E9" i="9"/>
  <c r="J8" i="9"/>
  <c r="H8" i="9"/>
  <c r="F8" i="9"/>
  <c r="E8" i="9"/>
  <c r="I8" i="9" s="1"/>
  <c r="D8" i="9"/>
  <c r="G7" i="9"/>
  <c r="E7" i="9"/>
  <c r="J6" i="9"/>
  <c r="H6" i="9"/>
  <c r="F6" i="9"/>
  <c r="E6" i="9"/>
  <c r="I6" i="9" s="1"/>
  <c r="D6" i="9"/>
  <c r="D4" i="9"/>
  <c r="E34" i="8"/>
  <c r="E33" i="8"/>
  <c r="J25" i="8"/>
  <c r="H25" i="8"/>
  <c r="F25" i="8"/>
  <c r="E25" i="8"/>
  <c r="I25" i="8" s="1"/>
  <c r="D25" i="8"/>
  <c r="E24" i="8"/>
  <c r="J23" i="8"/>
  <c r="H23" i="8"/>
  <c r="F23" i="8"/>
  <c r="E23" i="8"/>
  <c r="I23" i="8" s="1"/>
  <c r="D23" i="8"/>
  <c r="E22" i="8"/>
  <c r="H21" i="8"/>
  <c r="F21" i="8"/>
  <c r="E21" i="8"/>
  <c r="I21" i="8" s="1"/>
  <c r="D21" i="8"/>
  <c r="E20" i="8"/>
  <c r="J20" i="8" s="1"/>
  <c r="J19" i="8"/>
  <c r="H19" i="8"/>
  <c r="F19" i="8"/>
  <c r="E19" i="8"/>
  <c r="I19" i="8" s="1"/>
  <c r="D19" i="8"/>
  <c r="E18" i="8"/>
  <c r="J18" i="8" s="1"/>
  <c r="J17" i="8"/>
  <c r="H17" i="8"/>
  <c r="F17" i="8"/>
  <c r="E17" i="8"/>
  <c r="I17" i="8" s="1"/>
  <c r="D17" i="8"/>
  <c r="E16" i="8"/>
  <c r="J16" i="8" s="1"/>
  <c r="F15" i="8"/>
  <c r="E15" i="8"/>
  <c r="I15" i="8" s="1"/>
  <c r="D15" i="8"/>
  <c r="E14" i="8"/>
  <c r="F13" i="8"/>
  <c r="E13" i="8"/>
  <c r="I13" i="8" s="1"/>
  <c r="D13" i="8"/>
  <c r="E12" i="8"/>
  <c r="F11" i="8"/>
  <c r="E11" i="8"/>
  <c r="I11" i="8" s="1"/>
  <c r="D11" i="8"/>
  <c r="E10" i="8"/>
  <c r="J9" i="8"/>
  <c r="H9" i="8"/>
  <c r="F9" i="8"/>
  <c r="E9" i="8"/>
  <c r="I9" i="8" s="1"/>
  <c r="D9" i="8"/>
  <c r="E8" i="8"/>
  <c r="J8" i="8" s="1"/>
  <c r="J7" i="8"/>
  <c r="H7" i="8"/>
  <c r="F7" i="8"/>
  <c r="E7" i="8"/>
  <c r="I7" i="8" s="1"/>
  <c r="D7" i="8"/>
  <c r="E6" i="8"/>
  <c r="D4" i="8"/>
  <c r="E34" i="7"/>
  <c r="E33" i="7"/>
  <c r="E25" i="7"/>
  <c r="J25" i="7" s="1"/>
  <c r="J24" i="7"/>
  <c r="H24" i="7"/>
  <c r="F24" i="7"/>
  <c r="G24" i="7" s="1"/>
  <c r="E24" i="7"/>
  <c r="I24" i="7" s="1"/>
  <c r="D24" i="7"/>
  <c r="E23" i="7"/>
  <c r="J23" i="7" s="1"/>
  <c r="J22" i="7"/>
  <c r="H22" i="7"/>
  <c r="F22" i="7"/>
  <c r="G22" i="7" s="1"/>
  <c r="E22" i="7"/>
  <c r="I22" i="7" s="1"/>
  <c r="D22" i="7"/>
  <c r="E21" i="7"/>
  <c r="J21" i="7" s="1"/>
  <c r="J20" i="7"/>
  <c r="H20" i="7"/>
  <c r="F20" i="7"/>
  <c r="G20" i="7" s="1"/>
  <c r="E20" i="7"/>
  <c r="I20" i="7" s="1"/>
  <c r="D20" i="7"/>
  <c r="E19" i="7"/>
  <c r="J19" i="7" s="1"/>
  <c r="J18" i="7"/>
  <c r="H18" i="7"/>
  <c r="F18" i="7"/>
  <c r="G18" i="7" s="1"/>
  <c r="E18" i="7"/>
  <c r="I18" i="7" s="1"/>
  <c r="D18" i="7"/>
  <c r="E17" i="7"/>
  <c r="J17" i="7" s="1"/>
  <c r="J16" i="7"/>
  <c r="H16" i="7"/>
  <c r="F16" i="7"/>
  <c r="G16" i="7" s="1"/>
  <c r="E16" i="7"/>
  <c r="I16" i="7" s="1"/>
  <c r="D16" i="7"/>
  <c r="E15" i="7"/>
  <c r="F14" i="7"/>
  <c r="G14" i="7" s="1"/>
  <c r="E14" i="7"/>
  <c r="I14" i="7" s="1"/>
  <c r="D14" i="7"/>
  <c r="E13" i="7"/>
  <c r="F12" i="7"/>
  <c r="G12" i="7" s="1"/>
  <c r="E12" i="7"/>
  <c r="I12" i="7" s="1"/>
  <c r="D12" i="7"/>
  <c r="E11" i="7"/>
  <c r="F10" i="7"/>
  <c r="G10" i="7" s="1"/>
  <c r="E10" i="7"/>
  <c r="I10" i="7" s="1"/>
  <c r="D10" i="7"/>
  <c r="E9" i="7"/>
  <c r="J9" i="7" s="1"/>
  <c r="J8" i="7"/>
  <c r="H8" i="7"/>
  <c r="F8" i="7"/>
  <c r="G8" i="7" s="1"/>
  <c r="E8" i="7"/>
  <c r="I8" i="7" s="1"/>
  <c r="D8" i="7"/>
  <c r="E7" i="7"/>
  <c r="J7" i="7" s="1"/>
  <c r="J6" i="7"/>
  <c r="H6" i="7"/>
  <c r="F6" i="7"/>
  <c r="E6" i="7"/>
  <c r="I6" i="7" s="1"/>
  <c r="D6" i="7"/>
  <c r="D4" i="7"/>
  <c r="L26" i="5"/>
  <c r="L25" i="5"/>
  <c r="I23" i="5"/>
  <c r="F23" i="5"/>
  <c r="C23" i="5"/>
  <c r="I22" i="5"/>
  <c r="F22" i="5"/>
  <c r="C22" i="5"/>
  <c r="I21" i="5"/>
  <c r="F21" i="5"/>
  <c r="I20" i="5"/>
  <c r="F20" i="5"/>
  <c r="I19" i="5"/>
  <c r="F19" i="5"/>
  <c r="I18" i="5"/>
  <c r="F18" i="5"/>
  <c r="I17" i="5"/>
  <c r="F17" i="5"/>
  <c r="I16" i="5"/>
  <c r="F16" i="5"/>
  <c r="I15" i="5"/>
  <c r="F15" i="5"/>
  <c r="I14" i="5"/>
  <c r="F14" i="5"/>
  <c r="I13" i="5"/>
  <c r="J18" i="5" s="1"/>
  <c r="F13" i="5"/>
  <c r="C13" i="5"/>
  <c r="D18" i="5" s="1"/>
  <c r="F10" i="5"/>
  <c r="H12" i="4"/>
  <c r="E12" i="4"/>
  <c r="B12" i="4"/>
  <c r="H11" i="4"/>
  <c r="E11" i="4"/>
  <c r="B11" i="4"/>
  <c r="I8" i="4"/>
  <c r="F8" i="4"/>
  <c r="C8" i="4"/>
  <c r="F7" i="4"/>
  <c r="I6" i="4"/>
  <c r="F6" i="4"/>
  <c r="C6" i="4"/>
  <c r="I7" i="4" s="1"/>
  <c r="I5" i="4"/>
  <c r="F5" i="4"/>
  <c r="C5" i="4"/>
  <c r="F4" i="4"/>
  <c r="I3" i="4"/>
  <c r="F3" i="4"/>
  <c r="C3" i="4"/>
  <c r="I2" i="4"/>
  <c r="F2" i="4"/>
  <c r="C2" i="4"/>
  <c r="B17" i="3"/>
  <c r="B16" i="3"/>
  <c r="C14" i="3"/>
  <c r="L13" i="4" s="1"/>
  <c r="M22" i="5" s="1"/>
  <c r="L11" i="3"/>
  <c r="I11" i="3"/>
  <c r="F11" i="3"/>
  <c r="L10" i="3"/>
  <c r="I10" i="3"/>
  <c r="F10" i="3"/>
  <c r="C10" i="3"/>
  <c r="L9" i="3"/>
  <c r="I9" i="3"/>
  <c r="F9" i="3"/>
  <c r="L8" i="3"/>
  <c r="I8" i="3"/>
  <c r="F8" i="3"/>
  <c r="M6" i="3"/>
  <c r="J19" i="5" s="1"/>
  <c r="J6" i="3"/>
  <c r="G19" i="5" s="1"/>
  <c r="G6" i="3"/>
  <c r="D19" i="5" s="1"/>
  <c r="C2" i="3"/>
  <c r="H43" i="2"/>
  <c r="H42" i="2"/>
  <c r="J34" i="2"/>
  <c r="J33" i="2"/>
  <c r="H24" i="2"/>
  <c r="I18" i="2"/>
  <c r="Q8" i="2"/>
  <c r="N8" i="2"/>
  <c r="K8" i="2"/>
  <c r="G7" i="3" l="1"/>
  <c r="M7" i="3"/>
  <c r="J11" i="7"/>
  <c r="J15" i="7"/>
  <c r="J7" i="3"/>
  <c r="C4" i="4"/>
  <c r="I4" i="4"/>
  <c r="C7" i="4"/>
  <c r="L14" i="4"/>
  <c r="M23" i="5" s="1"/>
  <c r="G18" i="5"/>
  <c r="G17" i="5"/>
  <c r="G16" i="5"/>
  <c r="G15" i="5"/>
  <c r="G14" i="5"/>
  <c r="J10" i="7"/>
  <c r="H10" i="7"/>
  <c r="J12" i="7"/>
  <c r="H12" i="7"/>
  <c r="J14" i="7"/>
  <c r="H14" i="7"/>
  <c r="I7" i="7"/>
  <c r="I26" i="7" s="1"/>
  <c r="I9" i="7"/>
  <c r="I11" i="7"/>
  <c r="I13" i="7"/>
  <c r="I15" i="7"/>
  <c r="I17" i="7"/>
  <c r="I19" i="7"/>
  <c r="I21" i="7"/>
  <c r="I23" i="7"/>
  <c r="I25" i="7"/>
  <c r="E26" i="7"/>
  <c r="E26" i="8"/>
  <c r="G6" i="8"/>
  <c r="I6" i="8"/>
  <c r="G8" i="8"/>
  <c r="I8" i="8"/>
  <c r="I10" i="8"/>
  <c r="I12" i="8"/>
  <c r="I14" i="8"/>
  <c r="G16" i="8"/>
  <c r="I16" i="8"/>
  <c r="G18" i="8"/>
  <c r="I18" i="8"/>
  <c r="G20" i="8"/>
  <c r="I20" i="8"/>
  <c r="J22" i="8"/>
  <c r="H22" i="8"/>
  <c r="F22" i="8"/>
  <c r="D22" i="8"/>
  <c r="I22" i="8"/>
  <c r="J24" i="8"/>
  <c r="H24" i="8"/>
  <c r="F24" i="8"/>
  <c r="D24" i="8"/>
  <c r="I24" i="8"/>
  <c r="D14" i="5"/>
  <c r="J14" i="5"/>
  <c r="D15" i="5"/>
  <c r="J15" i="5"/>
  <c r="D16" i="5"/>
  <c r="J16" i="5"/>
  <c r="D17" i="5"/>
  <c r="J17" i="5"/>
  <c r="G6" i="7"/>
  <c r="D7" i="7"/>
  <c r="F7" i="7"/>
  <c r="G7" i="7" s="1"/>
  <c r="H7" i="7"/>
  <c r="D9" i="7"/>
  <c r="F9" i="7"/>
  <c r="G9" i="7" s="1"/>
  <c r="H9" i="7"/>
  <c r="D11" i="7"/>
  <c r="F11" i="7"/>
  <c r="G11" i="7" s="1"/>
  <c r="H11" i="7"/>
  <c r="D13" i="7"/>
  <c r="F13" i="7"/>
  <c r="G13" i="7" s="1"/>
  <c r="J13" i="7" s="1"/>
  <c r="D15" i="7"/>
  <c r="F15" i="7"/>
  <c r="G15" i="7" s="1"/>
  <c r="H15" i="7"/>
  <c r="D17" i="7"/>
  <c r="F17" i="7"/>
  <c r="G17" i="7" s="1"/>
  <c r="H17" i="7"/>
  <c r="D19" i="7"/>
  <c r="F19" i="7"/>
  <c r="G19" i="7" s="1"/>
  <c r="H19" i="7"/>
  <c r="D21" i="7"/>
  <c r="F21" i="7"/>
  <c r="G21" i="7" s="1"/>
  <c r="H21" i="7"/>
  <c r="D23" i="7"/>
  <c r="F23" i="7"/>
  <c r="G23" i="7" s="1"/>
  <c r="H23" i="7"/>
  <c r="D25" i="7"/>
  <c r="F25" i="7"/>
  <c r="G25" i="7" s="1"/>
  <c r="H25" i="7"/>
  <c r="D6" i="8"/>
  <c r="F6" i="8"/>
  <c r="H6" i="8"/>
  <c r="J6" i="8"/>
  <c r="G7" i="8"/>
  <c r="D8" i="8"/>
  <c r="F8" i="8"/>
  <c r="H8" i="8"/>
  <c r="G9" i="8"/>
  <c r="D10" i="8"/>
  <c r="F10" i="8"/>
  <c r="G10" i="8" s="1"/>
  <c r="G11" i="8"/>
  <c r="D12" i="8"/>
  <c r="F12" i="8"/>
  <c r="G12" i="8" s="1"/>
  <c r="G13" i="8"/>
  <c r="D14" i="8"/>
  <c r="F14" i="8"/>
  <c r="G14" i="8" s="1"/>
  <c r="G15" i="8"/>
  <c r="D16" i="8"/>
  <c r="F16" i="8"/>
  <c r="H16" i="8"/>
  <c r="G17" i="8"/>
  <c r="D18" i="8"/>
  <c r="F18" i="8"/>
  <c r="H18" i="8"/>
  <c r="G19" i="8"/>
  <c r="D20" i="8"/>
  <c r="F20" i="8"/>
  <c r="H20" i="8"/>
  <c r="G21" i="8"/>
  <c r="J21" i="8"/>
  <c r="G22" i="8"/>
  <c r="G24" i="8"/>
  <c r="J7" i="9"/>
  <c r="H7" i="9"/>
  <c r="F7" i="9"/>
  <c r="F26" i="9" s="1"/>
  <c r="D7" i="9"/>
  <c r="I7" i="9"/>
  <c r="I26" i="9" s="1"/>
  <c r="J9" i="9"/>
  <c r="H9" i="9"/>
  <c r="F9" i="9"/>
  <c r="D9" i="9"/>
  <c r="I9" i="9"/>
  <c r="F11" i="9"/>
  <c r="G11" i="9" s="1"/>
  <c r="H11" i="9" s="1"/>
  <c r="D11" i="9"/>
  <c r="I11" i="9"/>
  <c r="H13" i="9"/>
  <c r="F13" i="9"/>
  <c r="G13" i="9" s="1"/>
  <c r="J13" i="9" s="1"/>
  <c r="D13" i="9"/>
  <c r="I13" i="9"/>
  <c r="I15" i="9"/>
  <c r="G17" i="9"/>
  <c r="I17" i="9"/>
  <c r="G19" i="9"/>
  <c r="I19" i="9"/>
  <c r="G21" i="9"/>
  <c r="I21" i="9"/>
  <c r="G23" i="9"/>
  <c r="I23" i="9"/>
  <c r="G25" i="9"/>
  <c r="I25" i="9"/>
  <c r="E26" i="9"/>
  <c r="G23" i="8"/>
  <c r="G25" i="8"/>
  <c r="G6" i="9"/>
  <c r="G8" i="9"/>
  <c r="G10" i="9"/>
  <c r="G12" i="9"/>
  <c r="G14" i="9"/>
  <c r="D15" i="9"/>
  <c r="F15" i="9"/>
  <c r="G15" i="9" s="1"/>
  <c r="G16" i="9"/>
  <c r="D17" i="9"/>
  <c r="F17" i="9"/>
  <c r="H17" i="9"/>
  <c r="G18" i="9"/>
  <c r="D19" i="9"/>
  <c r="F19" i="9"/>
  <c r="H19" i="9"/>
  <c r="G20" i="9"/>
  <c r="D21" i="9"/>
  <c r="F21" i="9"/>
  <c r="H21" i="9"/>
  <c r="G22" i="9"/>
  <c r="D23" i="9"/>
  <c r="F23" i="9"/>
  <c r="H23" i="9"/>
  <c r="G24" i="9"/>
  <c r="D25" i="9"/>
  <c r="F25" i="9"/>
  <c r="H25" i="9"/>
  <c r="H12" i="8" l="1"/>
  <c r="J12" i="8"/>
  <c r="J26" i="7"/>
  <c r="J15" i="9"/>
  <c r="H15" i="9"/>
  <c r="J14" i="8"/>
  <c r="H14" i="8"/>
  <c r="J10" i="8"/>
  <c r="J26" i="8" s="1"/>
  <c r="H10" i="8"/>
  <c r="H12" i="9"/>
  <c r="J12" i="9"/>
  <c r="J11" i="9"/>
  <c r="J26" i="9" s="1"/>
  <c r="J15" i="8"/>
  <c r="H15" i="8"/>
  <c r="J13" i="8"/>
  <c r="H13" i="8"/>
  <c r="J11" i="8"/>
  <c r="H11" i="8"/>
  <c r="H26" i="8" s="1"/>
  <c r="F29" i="8" s="1"/>
  <c r="F31" i="8" s="1"/>
  <c r="I26" i="8"/>
  <c r="F26" i="7"/>
  <c r="C6" i="3"/>
  <c r="C3" i="3"/>
  <c r="H14" i="9"/>
  <c r="J14" i="9"/>
  <c r="H10" i="9"/>
  <c r="H26" i="9" s="1"/>
  <c r="F29" i="9" s="1"/>
  <c r="F31" i="9" s="1"/>
  <c r="J10" i="9"/>
  <c r="G26" i="9"/>
  <c r="F26" i="8"/>
  <c r="H13" i="7"/>
  <c r="H26" i="7" s="1"/>
  <c r="F29" i="7" s="1"/>
  <c r="F31" i="7" s="1"/>
  <c r="G26" i="7"/>
  <c r="G26" i="8"/>
  <c r="C9" i="4" l="1"/>
  <c r="G8" i="3"/>
  <c r="D20" i="5" s="1"/>
  <c r="I9" i="4"/>
  <c r="M8" i="3"/>
  <c r="J20" i="5" s="1"/>
  <c r="F9" i="4"/>
  <c r="J8" i="3"/>
  <c r="G20" i="5" s="1"/>
  <c r="F30" i="7"/>
  <c r="F32" i="7" s="1"/>
  <c r="F30" i="9"/>
  <c r="F32" i="9" s="1"/>
  <c r="C12" i="3"/>
  <c r="L11" i="4" s="1"/>
  <c r="C8" i="3"/>
  <c r="L9" i="4" s="1"/>
  <c r="M18" i="5" s="1"/>
  <c r="C7" i="3"/>
  <c r="L8" i="4" s="1"/>
  <c r="M17" i="5" s="1"/>
  <c r="L7" i="4"/>
  <c r="M16" i="5" s="1"/>
  <c r="L6" i="4"/>
  <c r="M15" i="5" s="1"/>
  <c r="C11" i="3"/>
  <c r="C9" i="3"/>
  <c r="L10" i="4" s="1"/>
  <c r="F30" i="8"/>
  <c r="F32" i="8" s="1"/>
  <c r="C4" i="3"/>
  <c r="L4" i="4" s="1"/>
  <c r="M13" i="5" s="1"/>
  <c r="L3" i="4"/>
  <c r="M12" i="5" s="1"/>
  <c r="L2" i="4"/>
  <c r="M11" i="5" s="1"/>
  <c r="M24" i="5" l="1"/>
  <c r="C25" i="5"/>
  <c r="M20" i="5"/>
  <c r="M19" i="5"/>
  <c r="F33" i="7"/>
  <c r="C10" i="4"/>
  <c r="G9" i="3"/>
  <c r="F33" i="8"/>
  <c r="F10" i="4"/>
  <c r="J9" i="3"/>
  <c r="G21" i="5" s="1"/>
  <c r="C15" i="3"/>
  <c r="L15" i="4" s="1"/>
  <c r="F33" i="9"/>
  <c r="M9" i="3"/>
  <c r="J21" i="5" s="1"/>
  <c r="I10" i="4"/>
  <c r="I11" i="4" l="1"/>
  <c r="M10" i="3"/>
  <c r="J22" i="5" s="1"/>
  <c r="F34" i="9"/>
  <c r="F11" i="4"/>
  <c r="F34" i="8"/>
  <c r="J10" i="3"/>
  <c r="G22" i="5" s="1"/>
  <c r="D21" i="5"/>
  <c r="C5" i="3"/>
  <c r="C11" i="4"/>
  <c r="F34" i="7"/>
  <c r="G10" i="3"/>
  <c r="D22" i="5" s="1"/>
  <c r="F12" i="4" l="1"/>
  <c r="J11" i="3"/>
  <c r="G23" i="5" s="1"/>
  <c r="M11" i="3"/>
  <c r="J23" i="5" s="1"/>
  <c r="I12" i="4"/>
  <c r="C12" i="4"/>
  <c r="G11" i="3"/>
  <c r="D23" i="5" s="1"/>
  <c r="L5" i="4"/>
  <c r="M14" i="5" s="1"/>
  <c r="C13" i="3"/>
  <c r="I41" i="2" l="1"/>
  <c r="L12" i="4"/>
  <c r="M21" i="5" s="1"/>
  <c r="C16" i="3"/>
  <c r="C17" i="3" l="1"/>
  <c r="I42" i="2"/>
  <c r="M25" i="5" s="1"/>
  <c r="I43" i="2" l="1"/>
  <c r="M26" i="5" s="1"/>
  <c r="J41" i="2"/>
</calcChain>
</file>

<file path=xl/sharedStrings.xml><?xml version="1.0" encoding="utf-8"?>
<sst xmlns="http://schemas.openxmlformats.org/spreadsheetml/2006/main" count="165" uniqueCount="101">
  <si>
    <r>
      <rPr>
        <b/>
        <sz val="18"/>
        <rFont val="Arial"/>
        <family val="2"/>
      </rPr>
      <t xml:space="preserve">       ENERGY STAR</t>
    </r>
    <r>
      <rPr>
        <b/>
        <vertAlign val="superscript"/>
        <sz val="18"/>
        <rFont val="Arial"/>
        <family val="2"/>
      </rPr>
      <t>®</t>
    </r>
    <r>
      <rPr>
        <b/>
        <sz val="18"/>
        <rFont val="Arial"/>
        <family val="2"/>
      </rPr>
      <t xml:space="preserve"> TM-21 Calculator</t>
    </r>
    <r>
      <rPr>
        <b/>
        <u/>
        <sz val="18"/>
        <rFont val="Arial"/>
        <family val="2"/>
      </rPr>
      <t xml:space="preserve">
</t>
    </r>
  </si>
  <si>
    <r>
      <rPr>
        <b/>
        <sz val="12"/>
        <color indexed="8"/>
        <rFont val="Arial"/>
        <family val="2"/>
      </rPr>
      <t>Note: Users should download a new copy of this calculator for each use, to ensure use of the most up-to-date version of the calculator.  Users are encouraged to bookmark the hyperlink to this calculator.  Project-specific copies complete with calculations may be saved on a local drive.</t>
    </r>
    <r>
      <rPr>
        <sz val="14"/>
        <color indexed="8"/>
        <rFont val="Arial"/>
        <family val="2"/>
      </rPr>
      <t xml:space="preserve">
</t>
    </r>
    <r>
      <rPr>
        <sz val="10"/>
        <color indexed="8"/>
        <rFont val="Arial"/>
        <family val="2"/>
      </rPr>
      <t xml:space="preserve"> </t>
    </r>
    <r>
      <rPr>
        <sz val="14"/>
        <color indexed="8"/>
        <rFont val="Arial"/>
        <family val="2"/>
      </rPr>
      <t xml:space="preserve">
</t>
    </r>
    <r>
      <rPr>
        <sz val="12"/>
        <color indexed="8"/>
        <rFont val="Arial"/>
        <family val="2"/>
      </rPr>
      <t xml:space="preserve">This calculator is based on the Illuminating Engineering Society’s TM-21-11: </t>
    </r>
    <r>
      <rPr>
        <i/>
        <sz val="12"/>
        <color indexed="8"/>
        <rFont val="Arial"/>
        <family val="2"/>
      </rPr>
      <t>Projecting Long Term Lumen Maintenance of LED Light Sources</t>
    </r>
    <r>
      <rPr>
        <sz val="12"/>
        <color indexed="8"/>
        <rFont val="Arial"/>
        <family val="2"/>
      </rPr>
      <t>.  Calculator results have been validated by the U.S. National Institute of Standards and Technology (NIST).  Calculations are locked; only data entry cells may be modified.
Calculator inputs are entered on the second tab, with instructions. The calculator may be used with one, two or three case temperatures.  Inputting values on the second tab generates a complete TM-21 report on the Report tab.
Questions may be directed to luminaires@energystar.gov or lamps@energystar.gov.</t>
    </r>
  </si>
  <si>
    <t>TM-21 Inputs</t>
  </si>
  <si>
    <t>LM-80 Test Inputs</t>
  </si>
  <si>
    <t>Instructions</t>
  </si>
  <si>
    <t>Description of LED Light Source Tested 
(manufacturer, model, catalog number)</t>
  </si>
  <si>
    <r>
      <rPr>
        <sz val="14"/>
        <color indexed="8"/>
        <rFont val="Arial"/>
        <family val="2"/>
      </rPr>
      <t xml:space="preserve">Yellow fields are completed by the user.  Fields not used should be left blank.  Cyan fields are calculated based on user entries.
First, enter a description of the LED light source tested.  Then complete the fields labeled "LM-80 Testing Details".  Test duration must be at least 6,000 hours.  If only one case temperature data set is to be used (no interpolation), complete only "Tested case temperature 1".  For only two case temperature data sets, complete 1 and 2.
Next, further to the right, in the corresponding box(es) for each tested case temperature, enter the test data along with the time (in hours) at which each measurement was taken.  Data entered must be normalized then averaged measured data (per TM-21 sections 5.2.1 and 5.2.2).
Enter drive current, </t>
    </r>
    <r>
      <rPr>
        <i/>
        <sz val="14"/>
        <color indexed="8"/>
        <rFont val="Arial"/>
        <family val="2"/>
      </rPr>
      <t>in-situ</t>
    </r>
    <r>
      <rPr>
        <sz val="14"/>
        <color indexed="8"/>
        <rFont val="Arial"/>
        <family val="2"/>
      </rPr>
      <t xml:space="preserve"> temperature data and the percentage of initial lumens to project to in the fields labeled "</t>
    </r>
    <r>
      <rPr>
        <i/>
        <sz val="14"/>
        <color indexed="8"/>
        <rFont val="Arial"/>
        <family val="2"/>
      </rPr>
      <t>In-Situ</t>
    </r>
    <r>
      <rPr>
        <sz val="14"/>
        <color indexed="8"/>
        <rFont val="Arial"/>
        <family val="2"/>
      </rPr>
      <t xml:space="preserve"> Inputs".
Results can be tailored to estimate lumen maintenance at a specific time by entering a value (t) in the yellow field.
A complete TM-21 report will appear on the next tab labeled "Report".</t>
    </r>
  </si>
  <si>
    <t>Time (hours)</t>
  </si>
  <si>
    <t>Lumen Maintenance (%)</t>
  </si>
  <si>
    <t>LM-80 Testing Details</t>
  </si>
  <si>
    <t>Total number of units tested per case temperature:</t>
  </si>
  <si>
    <t>Number of failures:</t>
  </si>
  <si>
    <t>Number of units measured:</t>
  </si>
  <si>
    <t>Test duration (hours):</t>
  </si>
  <si>
    <t>Tested drive current (mA):</t>
  </si>
  <si>
    <r>
      <rPr>
        <sz val="14"/>
        <color indexed="8"/>
        <rFont val="Arial"/>
        <family val="2"/>
      </rPr>
      <t>Tested case temperature 1 (T</t>
    </r>
    <r>
      <rPr>
        <vertAlign val="subscript"/>
        <sz val="14"/>
        <color indexed="8"/>
        <rFont val="Arial"/>
        <family val="2"/>
      </rPr>
      <t>c</t>
    </r>
    <r>
      <rPr>
        <sz val="14"/>
        <color indexed="8"/>
        <rFont val="Arial"/>
        <family val="2"/>
      </rPr>
      <t>, ⁰C):</t>
    </r>
  </si>
  <si>
    <r>
      <rPr>
        <sz val="14"/>
        <color indexed="8"/>
        <rFont val="Arial"/>
        <family val="2"/>
      </rPr>
      <t>Tested case temperature 2 (T</t>
    </r>
    <r>
      <rPr>
        <vertAlign val="subscript"/>
        <sz val="14"/>
        <color indexed="8"/>
        <rFont val="Arial"/>
        <family val="2"/>
      </rPr>
      <t>c</t>
    </r>
    <r>
      <rPr>
        <sz val="14"/>
        <color indexed="8"/>
        <rFont val="Arial"/>
        <family val="2"/>
      </rPr>
      <t>, ⁰C):</t>
    </r>
  </si>
  <si>
    <r>
      <rPr>
        <sz val="14"/>
        <color indexed="8"/>
        <rFont val="Arial"/>
        <family val="2"/>
      </rPr>
      <t>Tested case temperature 3 (T</t>
    </r>
    <r>
      <rPr>
        <vertAlign val="subscript"/>
        <sz val="14"/>
        <color indexed="8"/>
        <rFont val="Arial"/>
        <family val="2"/>
      </rPr>
      <t>c</t>
    </r>
    <r>
      <rPr>
        <sz val="14"/>
        <color indexed="8"/>
        <rFont val="Arial"/>
        <family val="2"/>
      </rPr>
      <t>, ⁰C):</t>
    </r>
  </si>
  <si>
    <r>
      <rPr>
        <b/>
        <i/>
        <sz val="20"/>
        <color indexed="8"/>
        <rFont val="Arial"/>
        <family val="2"/>
      </rPr>
      <t xml:space="preserve">In-Situ </t>
    </r>
    <r>
      <rPr>
        <b/>
        <sz val="20"/>
        <color indexed="8"/>
        <rFont val="Arial"/>
        <family val="2"/>
      </rPr>
      <t>Inputs</t>
    </r>
  </si>
  <si>
    <t>Drive current for each 
LED package/array/module (mA):</t>
  </si>
  <si>
    <r>
      <rPr>
        <i/>
        <sz val="14"/>
        <color indexed="8"/>
        <rFont val="Arial"/>
        <family val="2"/>
      </rPr>
      <t>In-situ</t>
    </r>
    <r>
      <rPr>
        <sz val="14"/>
        <color indexed="8"/>
        <rFont val="Arial"/>
        <family val="2"/>
      </rPr>
      <t xml:space="preserve"> case temperature (T</t>
    </r>
    <r>
      <rPr>
        <vertAlign val="subscript"/>
        <sz val="14"/>
        <color indexed="8"/>
        <rFont val="Arial"/>
        <family val="2"/>
      </rPr>
      <t>c</t>
    </r>
    <r>
      <rPr>
        <sz val="14"/>
        <color indexed="8"/>
        <rFont val="Arial"/>
        <family val="2"/>
      </rPr>
      <t>, ⁰C):</t>
    </r>
  </si>
  <si>
    <r>
      <rPr>
        <sz val="14"/>
        <color indexed="8"/>
        <rFont val="Arial"/>
        <family val="2"/>
      </rPr>
      <t>Percentage of initial lumens to project to (e.g. for L</t>
    </r>
    <r>
      <rPr>
        <vertAlign val="subscript"/>
        <sz val="14"/>
        <color indexed="8"/>
        <rFont val="Arial"/>
        <family val="2"/>
      </rPr>
      <t>70</t>
    </r>
    <r>
      <rPr>
        <sz val="14"/>
        <color indexed="8"/>
        <rFont val="Arial"/>
        <family val="2"/>
      </rPr>
      <t>, enter 70):</t>
    </r>
  </si>
  <si>
    <t>Results</t>
  </si>
  <si>
    <t>Time (t) at which to estimate lumen maintenance (hours):</t>
  </si>
  <si>
    <t>Lumen maintenance at time (t) (%):</t>
  </si>
  <si>
    <t>Calculations:</t>
  </si>
  <si>
    <r>
      <rPr>
        <sz val="11"/>
        <color indexed="8"/>
        <rFont val="宋体"/>
        <charset val="134"/>
      </rPr>
      <t>Minimum Case Temperature (T</t>
    </r>
    <r>
      <rPr>
        <vertAlign val="subscript"/>
        <sz val="11"/>
        <color indexed="8"/>
        <rFont val="宋体"/>
        <charset val="134"/>
      </rPr>
      <t>s,1</t>
    </r>
    <r>
      <rPr>
        <sz val="11"/>
        <color indexed="8"/>
        <rFont val="宋体"/>
        <charset val="134"/>
      </rPr>
      <t>) for Extrapolation (K):</t>
    </r>
  </si>
  <si>
    <r>
      <rPr>
        <sz val="11"/>
        <color indexed="8"/>
        <rFont val="Calibri"/>
        <family val="2"/>
      </rPr>
      <t>α</t>
    </r>
    <r>
      <rPr>
        <vertAlign val="subscript"/>
        <sz val="11"/>
        <color indexed="8"/>
        <rFont val="Calibri"/>
        <family val="2"/>
      </rPr>
      <t>1</t>
    </r>
  </si>
  <si>
    <t>Table 1: Report at each LM-80 Test Condition</t>
  </si>
  <si>
    <r>
      <rPr>
        <sz val="11"/>
        <color indexed="8"/>
        <rFont val="宋体"/>
        <charset val="134"/>
      </rPr>
      <t>B</t>
    </r>
    <r>
      <rPr>
        <vertAlign val="subscript"/>
        <sz val="11"/>
        <color indexed="8"/>
        <rFont val="宋体"/>
        <charset val="134"/>
      </rPr>
      <t>1</t>
    </r>
  </si>
  <si>
    <t>Case Temperature 1</t>
  </si>
  <si>
    <t>Case Temperature 2</t>
  </si>
  <si>
    <t>Case Temperature 3</t>
  </si>
  <si>
    <r>
      <rPr>
        <sz val="11"/>
        <color indexed="8"/>
        <rFont val="宋体"/>
        <charset val="134"/>
      </rPr>
      <t>Maximum Case Temperature (T</t>
    </r>
    <r>
      <rPr>
        <vertAlign val="subscript"/>
        <sz val="11"/>
        <color indexed="8"/>
        <rFont val="宋体"/>
        <charset val="134"/>
      </rPr>
      <t>s,2</t>
    </r>
    <r>
      <rPr>
        <sz val="11"/>
        <color indexed="8"/>
        <rFont val="宋体"/>
        <charset val="134"/>
      </rPr>
      <t>) for Extrapolation (K):</t>
    </r>
  </si>
  <si>
    <t>Temperature (⁰C):</t>
  </si>
  <si>
    <r>
      <rPr>
        <sz val="11"/>
        <color indexed="8"/>
        <rFont val="Calibri"/>
        <family val="2"/>
      </rPr>
      <t>α</t>
    </r>
    <r>
      <rPr>
        <vertAlign val="subscript"/>
        <sz val="9.35"/>
        <color indexed="8"/>
        <rFont val="Calibri"/>
        <family val="2"/>
      </rPr>
      <t>2</t>
    </r>
  </si>
  <si>
    <t>Temperature (⁰K):</t>
  </si>
  <si>
    <r>
      <rPr>
        <sz val="11"/>
        <color indexed="8"/>
        <rFont val="宋体"/>
        <charset val="134"/>
      </rPr>
      <t>B</t>
    </r>
    <r>
      <rPr>
        <vertAlign val="subscript"/>
        <sz val="11"/>
        <color indexed="8"/>
        <rFont val="宋体"/>
        <charset val="134"/>
      </rPr>
      <t>2</t>
    </r>
  </si>
  <si>
    <r>
      <rPr>
        <sz val="11"/>
        <color indexed="8"/>
        <rFont val="宋体"/>
        <charset val="134"/>
      </rPr>
      <t>E</t>
    </r>
    <r>
      <rPr>
        <vertAlign val="subscript"/>
        <sz val="11"/>
        <color indexed="8"/>
        <rFont val="宋体"/>
        <charset val="134"/>
      </rPr>
      <t>a</t>
    </r>
    <r>
      <rPr>
        <sz val="11"/>
        <color indexed="8"/>
        <rFont val="宋体"/>
        <charset val="134"/>
      </rPr>
      <t>/k</t>
    </r>
    <r>
      <rPr>
        <vertAlign val="subscript"/>
        <sz val="11"/>
        <color indexed="8"/>
        <rFont val="宋体"/>
        <charset val="134"/>
      </rPr>
      <t>b</t>
    </r>
  </si>
  <si>
    <r>
      <rPr>
        <sz val="11"/>
        <color indexed="8"/>
        <rFont val="宋体"/>
        <charset val="134"/>
      </rPr>
      <t>k</t>
    </r>
    <r>
      <rPr>
        <vertAlign val="subscript"/>
        <sz val="11"/>
        <color indexed="8"/>
        <rFont val="宋体"/>
        <charset val="134"/>
      </rPr>
      <t>b</t>
    </r>
    <r>
      <rPr>
        <sz val="11"/>
        <color indexed="8"/>
        <rFont val="宋体"/>
        <charset val="134"/>
      </rPr>
      <t xml:space="preserve"> (eV/K)</t>
    </r>
  </si>
  <si>
    <r>
      <rPr>
        <sz val="11"/>
        <color indexed="8"/>
        <rFont val="宋体"/>
        <charset val="134"/>
      </rPr>
      <t>E</t>
    </r>
    <r>
      <rPr>
        <vertAlign val="subscript"/>
        <sz val="11"/>
        <color indexed="8"/>
        <rFont val="宋体"/>
        <charset val="134"/>
      </rPr>
      <t>a</t>
    </r>
    <r>
      <rPr>
        <sz val="11"/>
        <color indexed="8"/>
        <rFont val="宋体"/>
        <charset val="134"/>
      </rPr>
      <t xml:space="preserve"> (eV)</t>
    </r>
  </si>
  <si>
    <t>A</t>
  </si>
  <si>
    <r>
      <rPr>
        <sz val="11"/>
        <color indexed="8"/>
        <rFont val="宋体"/>
        <charset val="134"/>
      </rPr>
      <t>B</t>
    </r>
    <r>
      <rPr>
        <vertAlign val="subscript"/>
        <sz val="11"/>
        <color indexed="8"/>
        <rFont val="宋体"/>
        <charset val="134"/>
      </rPr>
      <t>0</t>
    </r>
  </si>
  <si>
    <r>
      <rPr>
        <sz val="11"/>
        <color indexed="8"/>
        <rFont val="宋体"/>
        <charset val="134"/>
      </rPr>
      <t>In Situ Case Temperature (T</t>
    </r>
    <r>
      <rPr>
        <vertAlign val="subscript"/>
        <sz val="11"/>
        <color indexed="8"/>
        <rFont val="宋体"/>
        <charset val="134"/>
      </rPr>
      <t>s,i</t>
    </r>
    <r>
      <rPr>
        <sz val="11"/>
        <color indexed="8"/>
        <rFont val="宋体"/>
        <charset val="134"/>
      </rPr>
      <t>) (K):</t>
    </r>
  </si>
  <si>
    <t>Table 2: Report for Interpolation (based on in-situ temperature)</t>
  </si>
  <si>
    <r>
      <rPr>
        <sz val="11"/>
        <color indexed="8"/>
        <rFont val="Calibri"/>
        <family val="2"/>
      </rPr>
      <t>α</t>
    </r>
    <r>
      <rPr>
        <vertAlign val="subscript"/>
        <sz val="11"/>
        <color indexed="8"/>
        <rFont val="Calibri"/>
        <family val="2"/>
      </rPr>
      <t>i</t>
    </r>
  </si>
  <si>
    <t>Number of Samples Tested:</t>
  </si>
  <si>
    <r>
      <rPr>
        <sz val="11"/>
        <color indexed="8"/>
        <rFont val="宋体"/>
        <charset val="134"/>
      </rPr>
      <t>T</t>
    </r>
    <r>
      <rPr>
        <vertAlign val="subscript"/>
        <sz val="11"/>
        <color indexed="8"/>
        <rFont val="宋体"/>
        <charset val="134"/>
      </rPr>
      <t>s,1</t>
    </r>
    <r>
      <rPr>
        <sz val="11"/>
        <color indexed="8"/>
        <rFont val="宋体"/>
        <charset val="134"/>
      </rPr>
      <t xml:space="preserve"> (</t>
    </r>
    <r>
      <rPr>
        <sz val="11"/>
        <color indexed="8"/>
        <rFont val="Calibri"/>
        <family val="2"/>
      </rPr>
      <t>⁰C</t>
    </r>
    <r>
      <rPr>
        <sz val="11"/>
        <color indexed="8"/>
        <rFont val="宋体"/>
        <charset val="134"/>
      </rPr>
      <t>)</t>
    </r>
  </si>
  <si>
    <t>Number of Failures:</t>
  </si>
  <si>
    <r>
      <rPr>
        <sz val="11"/>
        <color indexed="8"/>
        <rFont val="宋体"/>
        <charset val="134"/>
      </rPr>
      <t>T</t>
    </r>
    <r>
      <rPr>
        <vertAlign val="subscript"/>
        <sz val="11"/>
        <color indexed="8"/>
        <rFont val="宋体"/>
        <charset val="134"/>
      </rPr>
      <t>s,1</t>
    </r>
    <r>
      <rPr>
        <sz val="11"/>
        <color indexed="8"/>
        <rFont val="宋体"/>
        <charset val="134"/>
      </rPr>
      <t xml:space="preserve"> (K)</t>
    </r>
  </si>
  <si>
    <t>Number of Samples Measured:</t>
  </si>
  <si>
    <t>DUT drive current used in the test (mA):</t>
  </si>
  <si>
    <t>Test duration (hrs):</t>
  </si>
  <si>
    <r>
      <rPr>
        <sz val="11"/>
        <color indexed="8"/>
        <rFont val="宋体"/>
        <charset val="134"/>
      </rPr>
      <t>T</t>
    </r>
    <r>
      <rPr>
        <vertAlign val="subscript"/>
        <sz val="11"/>
        <color indexed="8"/>
        <rFont val="宋体"/>
        <charset val="134"/>
      </rPr>
      <t>s,2</t>
    </r>
    <r>
      <rPr>
        <sz val="11"/>
        <color indexed="8"/>
        <rFont val="宋体"/>
        <charset val="134"/>
      </rPr>
      <t xml:space="preserve"> (⁰C)</t>
    </r>
  </si>
  <si>
    <t>Test duration used for projection (hr to hr):</t>
  </si>
  <si>
    <r>
      <rPr>
        <sz val="11"/>
        <color indexed="8"/>
        <rFont val="宋体"/>
        <charset val="134"/>
      </rPr>
      <t>T</t>
    </r>
    <r>
      <rPr>
        <vertAlign val="subscript"/>
        <sz val="11"/>
        <color indexed="8"/>
        <rFont val="宋体"/>
        <charset val="134"/>
      </rPr>
      <t>s,2</t>
    </r>
    <r>
      <rPr>
        <sz val="11"/>
        <color indexed="8"/>
        <rFont val="宋体"/>
        <charset val="134"/>
      </rPr>
      <t xml:space="preserve"> (K)</t>
    </r>
  </si>
  <si>
    <t>Tested case temperature (⁰C):</t>
  </si>
  <si>
    <r>
      <rPr>
        <sz val="11"/>
        <color indexed="8"/>
        <rFont val="Calibri"/>
        <family val="2"/>
      </rPr>
      <t>α</t>
    </r>
    <r>
      <rPr>
        <vertAlign val="subscript"/>
        <sz val="11"/>
        <color indexed="8"/>
        <rFont val="Calibri"/>
        <family val="2"/>
      </rPr>
      <t>2</t>
    </r>
  </si>
  <si>
    <t>α:</t>
  </si>
  <si>
    <t>B:</t>
  </si>
  <si>
    <r>
      <rPr>
        <sz val="11"/>
        <color indexed="8"/>
        <rFont val="宋体"/>
        <charset val="134"/>
      </rPr>
      <t>T</t>
    </r>
    <r>
      <rPr>
        <vertAlign val="subscript"/>
        <sz val="11"/>
        <color indexed="8"/>
        <rFont val="宋体"/>
        <charset val="134"/>
      </rPr>
      <t>s,i</t>
    </r>
    <r>
      <rPr>
        <sz val="11"/>
        <color indexed="8"/>
        <rFont val="宋体"/>
        <charset val="134"/>
      </rPr>
      <t xml:space="preserve"> (</t>
    </r>
    <r>
      <rPr>
        <sz val="11"/>
        <color indexed="8"/>
        <rFont val="Calibri"/>
        <family val="2"/>
      </rPr>
      <t>⁰C</t>
    </r>
    <r>
      <rPr>
        <sz val="11"/>
        <color indexed="8"/>
        <rFont val="宋体"/>
        <charset val="134"/>
      </rPr>
      <t>)</t>
    </r>
  </si>
  <si>
    <r>
      <rPr>
        <sz val="11"/>
        <color indexed="8"/>
        <rFont val="宋体"/>
        <charset val="134"/>
      </rPr>
      <t>T</t>
    </r>
    <r>
      <rPr>
        <vertAlign val="subscript"/>
        <sz val="11"/>
        <color indexed="8"/>
        <rFont val="宋体"/>
        <charset val="134"/>
      </rPr>
      <t>s,i</t>
    </r>
    <r>
      <rPr>
        <sz val="11"/>
        <color indexed="8"/>
        <rFont val="宋体"/>
        <charset val="134"/>
      </rPr>
      <t xml:space="preserve"> (K)</t>
    </r>
  </si>
  <si>
    <t>TM-21 Report</t>
  </si>
  <si>
    <t>Table 2: Interpolation Report</t>
  </si>
  <si>
    <t>Description of LED Light Source Tested (manufacturer, model, 
catalog number)</t>
  </si>
  <si>
    <r>
      <rPr>
        <b/>
        <sz val="11"/>
        <color indexed="9"/>
        <rFont val="Arial"/>
        <family val="2"/>
      </rPr>
      <t xml:space="preserve">(projection based on </t>
    </r>
    <r>
      <rPr>
        <b/>
        <i/>
        <sz val="11"/>
        <color indexed="9"/>
        <rFont val="Arial"/>
        <family val="2"/>
      </rPr>
      <t>in-situ</t>
    </r>
    <r>
      <rPr>
        <b/>
        <sz val="11"/>
        <color indexed="9"/>
        <rFont val="Arial"/>
        <family val="2"/>
      </rPr>
      <t xml:space="preserve"> temperature entered)</t>
    </r>
  </si>
  <si>
    <r>
      <rPr>
        <sz val="11"/>
        <color indexed="8"/>
        <rFont val="Arial"/>
        <family val="2"/>
      </rPr>
      <t>T</t>
    </r>
    <r>
      <rPr>
        <vertAlign val="subscript"/>
        <sz val="11"/>
        <color indexed="8"/>
        <rFont val="Arial"/>
        <family val="2"/>
      </rPr>
      <t>s,1</t>
    </r>
    <r>
      <rPr>
        <sz val="11"/>
        <color indexed="8"/>
        <rFont val="Arial"/>
        <family val="2"/>
      </rPr>
      <t xml:space="preserve"> (⁰C)</t>
    </r>
  </si>
  <si>
    <r>
      <rPr>
        <sz val="11"/>
        <color indexed="8"/>
        <rFont val="Arial"/>
        <family val="2"/>
      </rPr>
      <t>T</t>
    </r>
    <r>
      <rPr>
        <vertAlign val="subscript"/>
        <sz val="11"/>
        <color indexed="8"/>
        <rFont val="Arial"/>
        <family val="2"/>
      </rPr>
      <t>s,1</t>
    </r>
    <r>
      <rPr>
        <sz val="11"/>
        <color indexed="8"/>
        <rFont val="Arial"/>
        <family val="2"/>
      </rPr>
      <t xml:space="preserve"> (K)</t>
    </r>
  </si>
  <si>
    <r>
      <rPr>
        <sz val="11"/>
        <color indexed="8"/>
        <rFont val="Arial"/>
        <family val="2"/>
      </rPr>
      <t>α</t>
    </r>
    <r>
      <rPr>
        <vertAlign val="subscript"/>
        <sz val="11"/>
        <color indexed="8"/>
        <rFont val="Arial"/>
        <family val="2"/>
      </rPr>
      <t>1</t>
    </r>
  </si>
  <si>
    <t>Sample size</t>
  </si>
  <si>
    <r>
      <rPr>
        <sz val="11"/>
        <color indexed="8"/>
        <rFont val="Arial"/>
        <family val="2"/>
      </rPr>
      <t>B</t>
    </r>
    <r>
      <rPr>
        <vertAlign val="subscript"/>
        <sz val="11"/>
        <color indexed="8"/>
        <rFont val="Arial"/>
        <family val="2"/>
      </rPr>
      <t>1</t>
    </r>
  </si>
  <si>
    <t>Number of failures</t>
  </si>
  <si>
    <r>
      <rPr>
        <sz val="11"/>
        <color indexed="8"/>
        <rFont val="Arial"/>
        <family val="2"/>
      </rPr>
      <t>T</t>
    </r>
    <r>
      <rPr>
        <vertAlign val="subscript"/>
        <sz val="11"/>
        <color indexed="8"/>
        <rFont val="Arial"/>
        <family val="2"/>
      </rPr>
      <t>s,2</t>
    </r>
    <r>
      <rPr>
        <sz val="11"/>
        <color indexed="8"/>
        <rFont val="Arial"/>
        <family val="2"/>
      </rPr>
      <t xml:space="preserve"> (⁰C)</t>
    </r>
  </si>
  <si>
    <t>DUT drive current used in the test (mA)</t>
  </si>
  <si>
    <r>
      <rPr>
        <sz val="11"/>
        <color indexed="8"/>
        <rFont val="Arial"/>
        <family val="2"/>
      </rPr>
      <t>T</t>
    </r>
    <r>
      <rPr>
        <vertAlign val="subscript"/>
        <sz val="11"/>
        <color indexed="8"/>
        <rFont val="Arial"/>
        <family val="2"/>
      </rPr>
      <t>s,2</t>
    </r>
    <r>
      <rPr>
        <sz val="11"/>
        <color indexed="8"/>
        <rFont val="Arial"/>
        <family val="2"/>
      </rPr>
      <t xml:space="preserve"> (K)</t>
    </r>
  </si>
  <si>
    <t>Test duration (hours)</t>
  </si>
  <si>
    <r>
      <rPr>
        <sz val="11"/>
        <color indexed="8"/>
        <rFont val="Arial"/>
        <family val="2"/>
      </rPr>
      <t>α</t>
    </r>
    <r>
      <rPr>
        <vertAlign val="subscript"/>
        <sz val="11"/>
        <color indexed="8"/>
        <rFont val="Arial"/>
        <family val="2"/>
      </rPr>
      <t>2</t>
    </r>
  </si>
  <si>
    <t>Test duration used for projection (hour to hour)</t>
  </si>
  <si>
    <r>
      <rPr>
        <sz val="11"/>
        <color indexed="8"/>
        <rFont val="Arial"/>
        <family val="2"/>
      </rPr>
      <t>B</t>
    </r>
    <r>
      <rPr>
        <vertAlign val="subscript"/>
        <sz val="11"/>
        <color indexed="8"/>
        <rFont val="Arial"/>
        <family val="2"/>
      </rPr>
      <t>2</t>
    </r>
  </si>
  <si>
    <t>Tested case temperature (⁰C)</t>
  </si>
  <si>
    <r>
      <rPr>
        <sz val="11"/>
        <color indexed="8"/>
        <rFont val="Arial"/>
        <family val="2"/>
      </rPr>
      <t>E</t>
    </r>
    <r>
      <rPr>
        <vertAlign val="subscript"/>
        <sz val="11"/>
        <color indexed="8"/>
        <rFont val="Arial"/>
        <family val="2"/>
      </rPr>
      <t>a</t>
    </r>
    <r>
      <rPr>
        <sz val="11"/>
        <color indexed="8"/>
        <rFont val="Arial"/>
        <family val="2"/>
      </rPr>
      <t>/k</t>
    </r>
    <r>
      <rPr>
        <vertAlign val="subscript"/>
        <sz val="11"/>
        <color indexed="8"/>
        <rFont val="Arial"/>
        <family val="2"/>
      </rPr>
      <t>b</t>
    </r>
  </si>
  <si>
    <t>α</t>
  </si>
  <si>
    <t>B</t>
  </si>
  <si>
    <r>
      <rPr>
        <sz val="11"/>
        <color indexed="8"/>
        <rFont val="Arial"/>
        <family val="2"/>
      </rPr>
      <t>B</t>
    </r>
    <r>
      <rPr>
        <vertAlign val="subscript"/>
        <sz val="11"/>
        <color indexed="8"/>
        <rFont val="Arial"/>
        <family val="2"/>
      </rPr>
      <t>0</t>
    </r>
  </si>
  <si>
    <r>
      <rPr>
        <sz val="11"/>
        <color indexed="8"/>
        <rFont val="Arial"/>
        <family val="2"/>
      </rPr>
      <t>T</t>
    </r>
    <r>
      <rPr>
        <vertAlign val="subscript"/>
        <sz val="11"/>
        <color indexed="8"/>
        <rFont val="Arial"/>
        <family val="2"/>
      </rPr>
      <t>s,i</t>
    </r>
    <r>
      <rPr>
        <sz val="11"/>
        <color indexed="8"/>
        <rFont val="Arial"/>
        <family val="2"/>
      </rPr>
      <t xml:space="preserve"> (⁰C)</t>
    </r>
  </si>
  <si>
    <r>
      <rPr>
        <sz val="11"/>
        <color indexed="8"/>
        <rFont val="Arial"/>
        <family val="2"/>
      </rPr>
      <t>T</t>
    </r>
    <r>
      <rPr>
        <vertAlign val="subscript"/>
        <sz val="11"/>
        <color indexed="8"/>
        <rFont val="Arial"/>
        <family val="2"/>
      </rPr>
      <t>s,i</t>
    </r>
    <r>
      <rPr>
        <sz val="11"/>
        <color indexed="8"/>
        <rFont val="Arial"/>
        <family val="2"/>
      </rPr>
      <t xml:space="preserve"> (K)</t>
    </r>
  </si>
  <si>
    <r>
      <rPr>
        <sz val="11"/>
        <color indexed="8"/>
        <rFont val="Arial"/>
        <family val="2"/>
      </rPr>
      <t>α</t>
    </r>
    <r>
      <rPr>
        <vertAlign val="subscript"/>
        <sz val="11"/>
        <color indexed="8"/>
        <rFont val="Arial"/>
        <family val="2"/>
      </rPr>
      <t>i</t>
    </r>
  </si>
  <si>
    <t xml:space="preserve">Report Generated By: </t>
  </si>
  <si>
    <t xml:space="preserve">Notes: </t>
  </si>
  <si>
    <t xml:space="preserve">Company: </t>
  </si>
  <si>
    <t>Date:</t>
  </si>
  <si>
    <t>Meas.</t>
  </si>
  <si>
    <t>Time (hrs) = x</t>
  </si>
  <si>
    <t>Average Normalized Lumen Maintenance = y</t>
  </si>
  <si>
    <t>ln(y)</t>
  </si>
  <si>
    <t>xy</t>
  </si>
  <si>
    <r>
      <rPr>
        <sz val="11"/>
        <color indexed="8"/>
        <rFont val="宋体"/>
        <charset val="134"/>
      </rPr>
      <t>x</t>
    </r>
    <r>
      <rPr>
        <vertAlign val="superscript"/>
        <sz val="11"/>
        <color indexed="8"/>
        <rFont val="宋体"/>
        <charset val="134"/>
      </rPr>
      <t>2</t>
    </r>
  </si>
  <si>
    <t>xlny</t>
  </si>
  <si>
    <t>Sums</t>
  </si>
  <si>
    <t>Slope:</t>
  </si>
  <si>
    <t>Intercept: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</si>
</sst>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00"/>
    <numFmt numFmtId="165" formatCode="_(* #,##0.00_);_(* \(#,##0.00\);_(* &quot;-&quot;??_);_(@_)"/>
    <numFmt numFmtId="167" formatCode="0.0000"/>
    <numFmt numFmtId="169" formatCode="0.00000E+00"/>
    <numFmt numFmtId="170" formatCode="0.000E+00"/>
    <numFmt numFmtId="171" formatCode="_(* #,##0_);_(* \(#,##0\);_(* &quot;-&quot;??_);_(@_)"/>
    <numFmt numFmtId="172" formatCode="0.000"/>
    <numFmt numFmtId="173" formatCode="0.0000E+00"/>
  </numFmts>
  <fonts count="41">
    <font>
      <sz val="11"/>
      <color indexed="8"/>
      <name val="宋体"/>
      <charset val="134"/>
    </font>
    <font>
      <sz val="12"/>
      <color indexed="9"/>
      <name val="宋体"/>
      <charset val="134"/>
    </font>
    <font>
      <sz val="11"/>
      <color indexed="8"/>
      <name val="Calibri"/>
      <family val="2"/>
    </font>
    <font>
      <sz val="11"/>
      <color indexed="8"/>
      <name val="Arial"/>
      <family val="2"/>
    </font>
    <font>
      <b/>
      <sz val="22"/>
      <color indexed="8"/>
      <name val="Arial"/>
      <family val="2"/>
    </font>
    <font>
      <b/>
      <sz val="11"/>
      <color indexed="9"/>
      <name val="Arial"/>
      <family val="2"/>
    </font>
    <font>
      <b/>
      <sz val="11"/>
      <name val="Arial"/>
      <family val="2"/>
    </font>
    <font>
      <sz val="11"/>
      <name val="Arial"/>
      <family val="2"/>
    </font>
    <font>
      <b/>
      <sz val="11"/>
      <color indexed="8"/>
      <name val="Arial"/>
      <family val="2"/>
    </font>
    <font>
      <sz val="11"/>
      <color indexed="10"/>
      <name val="Arial"/>
      <family val="2"/>
    </font>
    <font>
      <sz val="8"/>
      <color indexed="8"/>
      <name val="Arial"/>
      <family val="2"/>
    </font>
    <font>
      <b/>
      <sz val="11"/>
      <color indexed="8"/>
      <name val="宋体"/>
      <charset val="134"/>
    </font>
    <font>
      <sz val="11"/>
      <color indexed="22"/>
      <name val="宋体"/>
      <charset val="134"/>
    </font>
    <font>
      <sz val="11"/>
      <color indexed="9"/>
      <name val="宋体"/>
      <charset val="134"/>
    </font>
    <font>
      <b/>
      <sz val="28"/>
      <color indexed="8"/>
      <name val="Arial"/>
      <family val="2"/>
    </font>
    <font>
      <sz val="14"/>
      <color indexed="8"/>
      <name val="Arial"/>
      <family val="2"/>
    </font>
    <font>
      <sz val="16"/>
      <color indexed="8"/>
      <name val="Arial"/>
      <family val="2"/>
    </font>
    <font>
      <b/>
      <sz val="20"/>
      <color indexed="8"/>
      <name val="Arial"/>
      <family val="2"/>
    </font>
    <font>
      <b/>
      <sz val="20"/>
      <color indexed="8"/>
      <name val="宋体"/>
      <charset val="134"/>
    </font>
    <font>
      <sz val="14"/>
      <color indexed="9"/>
      <name val="Arial"/>
      <family val="2"/>
    </font>
    <font>
      <sz val="14"/>
      <color indexed="8"/>
      <name val="宋体"/>
      <charset val="134"/>
    </font>
    <font>
      <sz val="14"/>
      <color indexed="10"/>
      <name val="Arial"/>
      <family val="2"/>
    </font>
    <font>
      <sz val="12"/>
      <color indexed="8"/>
      <name val="Arial"/>
      <family val="2"/>
    </font>
    <font>
      <b/>
      <sz val="14"/>
      <color indexed="8"/>
      <name val="Arial"/>
      <family val="2"/>
    </font>
    <font>
      <sz val="12"/>
      <color indexed="10"/>
      <name val="Arial"/>
      <family val="2"/>
    </font>
    <font>
      <b/>
      <u/>
      <sz val="18"/>
      <name val="Arial"/>
      <family val="2"/>
    </font>
    <font>
      <vertAlign val="superscript"/>
      <sz val="11"/>
      <color indexed="8"/>
      <name val="宋体"/>
      <charset val="134"/>
    </font>
    <font>
      <b/>
      <i/>
      <sz val="11"/>
      <color indexed="9"/>
      <name val="Arial"/>
      <family val="2"/>
    </font>
    <font>
      <vertAlign val="subscript"/>
      <sz val="11"/>
      <color indexed="8"/>
      <name val="Arial"/>
      <family val="2"/>
    </font>
    <font>
      <vertAlign val="subscript"/>
      <sz val="11"/>
      <color indexed="8"/>
      <name val="宋体"/>
      <charset val="134"/>
    </font>
    <font>
      <vertAlign val="subscript"/>
      <sz val="11"/>
      <color indexed="8"/>
      <name val="Calibri"/>
      <family val="2"/>
    </font>
    <font>
      <vertAlign val="subscript"/>
      <sz val="9.35"/>
      <color indexed="8"/>
      <name val="Calibri"/>
      <family val="2"/>
    </font>
    <font>
      <i/>
      <sz val="14"/>
      <color indexed="8"/>
      <name val="Arial"/>
      <family val="2"/>
    </font>
    <font>
      <vertAlign val="subscript"/>
      <sz val="14"/>
      <color indexed="8"/>
      <name val="Arial"/>
      <family val="2"/>
    </font>
    <font>
      <b/>
      <i/>
      <sz val="20"/>
      <color indexed="8"/>
      <name val="Arial"/>
      <family val="2"/>
    </font>
    <font>
      <b/>
      <sz val="18"/>
      <name val="Arial"/>
      <family val="2"/>
    </font>
    <font>
      <b/>
      <vertAlign val="superscript"/>
      <sz val="18"/>
      <name val="Arial"/>
      <family val="2"/>
    </font>
    <font>
      <b/>
      <sz val="12"/>
      <color indexed="8"/>
      <name val="Arial"/>
      <family val="2"/>
    </font>
    <font>
      <sz val="10"/>
      <color indexed="8"/>
      <name val="Arial"/>
      <family val="2"/>
    </font>
    <font>
      <i/>
      <sz val="12"/>
      <color indexed="8"/>
      <name val="Arial"/>
      <family val="2"/>
    </font>
    <font>
      <sz val="11"/>
      <color indexed="8"/>
      <name val="宋体"/>
      <charset val="134"/>
    </font>
  </fonts>
  <fills count="9">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2"/>
        <bgColor indexed="64"/>
      </patternFill>
    </fill>
    <fill>
      <patternFill patternType="solid">
        <fgColor indexed="9"/>
        <bgColor indexed="9"/>
      </patternFill>
    </fill>
    <fill>
      <patternFill patternType="solid">
        <fgColor indexed="65"/>
        <bgColor indexed="9"/>
      </patternFill>
    </fill>
    <fill>
      <patternFill patternType="solid">
        <fgColor indexed="13"/>
        <bgColor indexed="64"/>
      </patternFill>
    </fill>
    <fill>
      <patternFill patternType="solid">
        <fgColor indexed="40"/>
        <bgColor indexed="64"/>
      </patternFill>
    </fill>
  </fills>
  <borders count="90">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medium">
        <color auto="1"/>
      </left>
      <right style="thin">
        <color auto="1"/>
      </right>
      <top style="thin">
        <color auto="1"/>
      </top>
      <bottom style="dashed">
        <color indexed="55"/>
      </bottom>
      <diagonal/>
    </border>
    <border>
      <left/>
      <right style="dashed">
        <color auto="1"/>
      </right>
      <top style="thin">
        <color auto="1"/>
      </top>
      <bottom style="dashed">
        <color indexed="55"/>
      </bottom>
      <diagonal/>
    </border>
    <border>
      <left style="dashed">
        <color auto="1"/>
      </left>
      <right style="dashed">
        <color auto="1"/>
      </right>
      <top style="thin">
        <color auto="1"/>
      </top>
      <bottom style="dashed">
        <color indexed="55"/>
      </bottom>
      <diagonal/>
    </border>
    <border>
      <left style="medium">
        <color auto="1"/>
      </left>
      <right style="thin">
        <color auto="1"/>
      </right>
      <top style="dashed">
        <color indexed="55"/>
      </top>
      <bottom style="dashed">
        <color indexed="55"/>
      </bottom>
      <diagonal/>
    </border>
    <border>
      <left/>
      <right style="dashed">
        <color auto="1"/>
      </right>
      <top style="dashed">
        <color indexed="55"/>
      </top>
      <bottom style="dashed">
        <color indexed="55"/>
      </bottom>
      <diagonal/>
    </border>
    <border>
      <left style="dashed">
        <color auto="1"/>
      </left>
      <right style="dashed">
        <color auto="1"/>
      </right>
      <top style="dashed">
        <color indexed="55"/>
      </top>
      <bottom style="dashed">
        <color indexed="55"/>
      </bottom>
      <diagonal/>
    </border>
    <border>
      <left style="medium">
        <color auto="1"/>
      </left>
      <right style="thin">
        <color auto="1"/>
      </right>
      <top style="dashed">
        <color indexed="55"/>
      </top>
      <bottom style="thin">
        <color auto="1"/>
      </bottom>
      <diagonal/>
    </border>
    <border>
      <left/>
      <right style="dashed">
        <color auto="1"/>
      </right>
      <top style="dashed">
        <color indexed="55"/>
      </top>
      <bottom style="thin">
        <color auto="1"/>
      </bottom>
      <diagonal/>
    </border>
    <border>
      <left style="dashed">
        <color auto="1"/>
      </left>
      <right style="dashed">
        <color auto="1"/>
      </right>
      <top style="dashed">
        <color indexed="55"/>
      </top>
      <bottom style="thin">
        <color auto="1"/>
      </bottom>
      <diagonal/>
    </border>
    <border>
      <left style="medium">
        <color auto="1"/>
      </left>
      <right style="thin">
        <color auto="1"/>
      </right>
      <top style="thin">
        <color auto="1"/>
      </top>
      <bottom style="medium">
        <color auto="1"/>
      </bottom>
      <diagonal/>
    </border>
    <border>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bottom style="dashed">
        <color indexed="55"/>
      </bottom>
      <diagonal/>
    </border>
    <border>
      <left/>
      <right style="medium">
        <color auto="1"/>
      </right>
      <top style="dashed">
        <color indexed="55"/>
      </top>
      <bottom style="dashed">
        <color indexed="55"/>
      </bottom>
      <diagonal/>
    </border>
    <border>
      <left style="medium">
        <color auto="1"/>
      </left>
      <right style="thin">
        <color auto="1"/>
      </right>
      <top style="dashed">
        <color indexed="55"/>
      </top>
      <bottom style="medium">
        <color auto="1"/>
      </bottom>
      <diagonal/>
    </border>
    <border>
      <left/>
      <right style="medium">
        <color auto="1"/>
      </right>
      <top style="dashed">
        <color indexed="55"/>
      </top>
      <bottom style="medium">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thin">
        <color auto="1"/>
      </top>
      <bottom style="dashed">
        <color indexed="55"/>
      </bottom>
      <diagonal/>
    </border>
    <border>
      <left style="dashed">
        <color auto="1"/>
      </left>
      <right style="medium">
        <color auto="1"/>
      </right>
      <top style="dashed">
        <color indexed="55"/>
      </top>
      <bottom style="dashed">
        <color indexed="55"/>
      </bottom>
      <diagonal/>
    </border>
    <border>
      <left style="dashed">
        <color auto="1"/>
      </left>
      <right style="medium">
        <color auto="1"/>
      </right>
      <top style="dashed">
        <color indexed="55"/>
      </top>
      <bottom style="thin">
        <color auto="1"/>
      </bottom>
      <diagonal/>
    </border>
    <border>
      <left style="dashed">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ashed">
        <color auto="1"/>
      </right>
      <top/>
      <bottom style="dashed">
        <color indexed="22"/>
      </bottom>
      <diagonal/>
    </border>
    <border>
      <left style="dashed">
        <color auto="1"/>
      </left>
      <right style="medium">
        <color auto="1"/>
      </right>
      <top/>
      <bottom style="dashed">
        <color indexed="22"/>
      </bottom>
      <diagonal/>
    </border>
    <border>
      <left style="dashed">
        <color auto="1"/>
      </left>
      <right style="medium">
        <color auto="1"/>
      </right>
      <top style="dashed">
        <color indexed="22"/>
      </top>
      <bottom style="dashed">
        <color indexed="22"/>
      </bottom>
      <diagonal/>
    </border>
    <border>
      <left style="medium">
        <color auto="1"/>
      </left>
      <right style="dashed">
        <color auto="1"/>
      </right>
      <top style="dashed">
        <color indexed="22"/>
      </top>
      <bottom/>
      <diagonal/>
    </border>
    <border>
      <left style="dashed">
        <color auto="1"/>
      </left>
      <right style="medium">
        <color auto="1"/>
      </right>
      <top style="dashed">
        <color indexed="22"/>
      </top>
      <bottom/>
      <diagonal/>
    </border>
    <border>
      <left style="medium">
        <color auto="1"/>
      </left>
      <right style="dashed">
        <color auto="1"/>
      </right>
      <top style="medium">
        <color auto="1"/>
      </top>
      <bottom style="dashed">
        <color indexed="22"/>
      </bottom>
      <diagonal/>
    </border>
    <border>
      <left style="dashed">
        <color auto="1"/>
      </left>
      <right style="medium">
        <color auto="1"/>
      </right>
      <top style="medium">
        <color auto="1"/>
      </top>
      <bottom style="dashed">
        <color indexed="22"/>
      </bottom>
      <diagonal/>
    </border>
    <border>
      <left style="medium">
        <color auto="1"/>
      </left>
      <right style="dashed">
        <color auto="1"/>
      </right>
      <top style="dashed">
        <color indexed="22"/>
      </top>
      <bottom style="medium">
        <color auto="1"/>
      </bottom>
      <diagonal/>
    </border>
    <border>
      <left style="dashed">
        <color auto="1"/>
      </left>
      <right style="medium">
        <color auto="1"/>
      </right>
      <top style="dashed">
        <color indexed="22"/>
      </top>
      <bottom style="medium">
        <color auto="1"/>
      </bottom>
      <diagonal/>
    </border>
    <border>
      <left/>
      <right/>
      <top style="medium">
        <color auto="1"/>
      </top>
      <bottom style="medium">
        <color auto="1"/>
      </bottom>
      <diagonal/>
    </border>
    <border>
      <left style="medium">
        <color auto="1"/>
      </left>
      <right style="thin">
        <color auto="1"/>
      </right>
      <top/>
      <bottom style="dashed">
        <color indexed="22"/>
      </bottom>
      <diagonal/>
    </border>
    <border>
      <left style="thin">
        <color auto="1"/>
      </left>
      <right style="medium">
        <color auto="1"/>
      </right>
      <top/>
      <bottom style="dashed">
        <color indexed="22"/>
      </bottom>
      <diagonal/>
    </border>
    <border>
      <left style="medium">
        <color auto="1"/>
      </left>
      <right style="thin">
        <color auto="1"/>
      </right>
      <top style="dashed">
        <color indexed="22"/>
      </top>
      <bottom style="dashed">
        <color indexed="22"/>
      </bottom>
      <diagonal/>
    </border>
    <border>
      <left style="thin">
        <color auto="1"/>
      </left>
      <right style="medium">
        <color auto="1"/>
      </right>
      <top style="dashed">
        <color indexed="22"/>
      </top>
      <bottom style="dashed">
        <color indexed="22"/>
      </bottom>
      <diagonal/>
    </border>
    <border>
      <left style="medium">
        <color auto="1"/>
      </left>
      <right style="thin">
        <color auto="1"/>
      </right>
      <top style="dashed">
        <color indexed="22"/>
      </top>
      <bottom/>
      <diagonal/>
    </border>
    <border>
      <left style="thin">
        <color auto="1"/>
      </left>
      <right style="medium">
        <color auto="1"/>
      </right>
      <top style="dashed">
        <color indexed="22"/>
      </top>
      <bottom/>
      <diagonal/>
    </border>
    <border>
      <left style="medium">
        <color auto="1"/>
      </left>
      <right style="thin">
        <color auto="1"/>
      </right>
      <top style="thin">
        <color auto="1"/>
      </top>
      <bottom style="dashed">
        <color indexed="22"/>
      </bottom>
      <diagonal/>
    </border>
    <border>
      <left style="thin">
        <color auto="1"/>
      </left>
      <right style="medium">
        <color auto="1"/>
      </right>
      <top style="thin">
        <color auto="1"/>
      </top>
      <bottom style="dashed">
        <color indexed="22"/>
      </bottom>
      <diagonal/>
    </border>
    <border>
      <left style="medium">
        <color auto="1"/>
      </left>
      <right style="thin">
        <color auto="1"/>
      </right>
      <top style="dashed">
        <color indexed="22"/>
      </top>
      <bottom style="thin">
        <color auto="1"/>
      </bottom>
      <diagonal/>
    </border>
    <border>
      <left style="thin">
        <color auto="1"/>
      </left>
      <right style="medium">
        <color auto="1"/>
      </right>
      <top style="dashed">
        <color indexed="22"/>
      </top>
      <bottom style="thin">
        <color auto="1"/>
      </bottom>
      <diagonal/>
    </border>
    <border>
      <left style="medium">
        <color auto="1"/>
      </left>
      <right style="thin">
        <color auto="1"/>
      </right>
      <top style="medium">
        <color auto="1"/>
      </top>
      <bottom style="dashed">
        <color indexed="22"/>
      </bottom>
      <diagonal/>
    </border>
    <border>
      <left style="thin">
        <color auto="1"/>
      </left>
      <right style="medium">
        <color auto="1"/>
      </right>
      <top style="medium">
        <color auto="1"/>
      </top>
      <bottom style="dashed">
        <color indexed="22"/>
      </bottom>
      <diagonal/>
    </border>
    <border>
      <left style="medium">
        <color auto="1"/>
      </left>
      <right style="thin">
        <color auto="1"/>
      </right>
      <top style="dashed">
        <color indexed="22"/>
      </top>
      <bottom style="medium">
        <color auto="1"/>
      </bottom>
      <diagonal/>
    </border>
    <border>
      <left style="thin">
        <color auto="1"/>
      </left>
      <right style="medium">
        <color auto="1"/>
      </right>
      <top style="dashed">
        <color indexed="22"/>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dashed">
        <color auto="1"/>
      </right>
      <top style="thin">
        <color auto="1"/>
      </top>
      <bottom style="dashed">
        <color indexed="22"/>
      </bottom>
      <diagonal/>
    </border>
    <border>
      <left style="dashed">
        <color auto="1"/>
      </left>
      <right style="thin">
        <color auto="1"/>
      </right>
      <top style="thin">
        <color auto="1"/>
      </top>
      <bottom style="dashed">
        <color indexed="22"/>
      </bottom>
      <diagonal/>
    </border>
    <border>
      <left style="thin">
        <color auto="1"/>
      </left>
      <right style="thin">
        <color auto="1"/>
      </right>
      <top/>
      <bottom/>
      <diagonal/>
    </border>
    <border>
      <left style="medium">
        <color auto="1"/>
      </left>
      <right style="dashed">
        <color auto="1"/>
      </right>
      <top style="dashed">
        <color indexed="22"/>
      </top>
      <bottom style="dashed">
        <color indexed="22"/>
      </bottom>
      <diagonal/>
    </border>
    <border>
      <left style="dashed">
        <color auto="1"/>
      </left>
      <right style="thin">
        <color auto="1"/>
      </right>
      <top style="dashed">
        <color indexed="22"/>
      </top>
      <bottom style="dashed">
        <color indexed="22"/>
      </bottom>
      <diagonal/>
    </border>
    <border>
      <left style="dashed">
        <color auto="1"/>
      </left>
      <right style="thin">
        <color auto="1"/>
      </right>
      <top style="dashed">
        <color indexed="22"/>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dashed">
        <color auto="1"/>
      </right>
      <top style="thin">
        <color auto="1"/>
      </top>
      <bottom style="dashed">
        <color indexed="22"/>
      </bottom>
      <diagonal/>
    </border>
    <border>
      <left style="dashed">
        <color auto="1"/>
      </left>
      <right style="medium">
        <color auto="1"/>
      </right>
      <top style="thin">
        <color auto="1"/>
      </top>
      <bottom style="dashed">
        <color indexed="22"/>
      </bottom>
      <diagonal/>
    </border>
    <border>
      <left style="thin">
        <color auto="1"/>
      </left>
      <right style="dashed">
        <color auto="1"/>
      </right>
      <top style="dashed">
        <color indexed="22"/>
      </top>
      <bottom style="dashed">
        <color indexed="22"/>
      </bottom>
      <diagonal/>
    </border>
    <border>
      <left style="thin">
        <color auto="1"/>
      </left>
      <right style="dashed">
        <color auto="1"/>
      </right>
      <top style="dashed">
        <color indexed="22"/>
      </top>
      <bottom style="medium">
        <color auto="1"/>
      </bottom>
      <diagonal/>
    </border>
    <border>
      <left style="medium">
        <color auto="1"/>
      </left>
      <right/>
      <top/>
      <bottom style="dashed">
        <color indexed="22"/>
      </bottom>
      <diagonal/>
    </border>
    <border>
      <left style="medium">
        <color auto="1"/>
      </left>
      <right/>
      <top style="dashed">
        <color indexed="22"/>
      </top>
      <bottom style="dashed">
        <color indexed="22"/>
      </bottom>
      <diagonal/>
    </border>
    <border>
      <left style="medium">
        <color auto="1"/>
      </left>
      <right/>
      <top style="dashed">
        <color indexed="22"/>
      </top>
      <bottom style="medium">
        <color auto="1"/>
      </bottom>
      <diagonal/>
    </border>
    <border>
      <left style="medium">
        <color auto="1"/>
      </left>
      <right/>
      <top style="medium">
        <color auto="1"/>
      </top>
      <bottom style="dashed">
        <color indexed="22"/>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indexed="22"/>
      </bottom>
      <diagonal/>
    </border>
    <border>
      <left/>
      <right style="medium">
        <color auto="1"/>
      </right>
      <top style="medium">
        <color auto="1"/>
      </top>
      <bottom style="dashed">
        <color indexed="22"/>
      </bottom>
      <diagonal/>
    </border>
    <border>
      <left style="medium">
        <color auto="1"/>
      </left>
      <right style="medium">
        <color auto="1"/>
      </right>
      <top style="dashed">
        <color indexed="22"/>
      </top>
      <bottom style="dashed">
        <color indexed="22"/>
      </bottom>
      <diagonal/>
    </border>
    <border>
      <left/>
      <right style="medium">
        <color auto="1"/>
      </right>
      <top style="dashed">
        <color indexed="22"/>
      </top>
      <bottom style="dashed">
        <color indexed="22"/>
      </bottom>
      <diagonal/>
    </border>
    <border>
      <left style="medium">
        <color auto="1"/>
      </left>
      <right style="medium">
        <color auto="1"/>
      </right>
      <top/>
      <bottom style="dashed">
        <color indexed="22"/>
      </bottom>
      <diagonal/>
    </border>
    <border>
      <left style="medium">
        <color auto="1"/>
      </left>
      <right style="medium">
        <color auto="1"/>
      </right>
      <top style="dashed">
        <color indexed="22"/>
      </top>
      <bottom style="medium">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s>
  <cellStyleXfs count="3">
    <xf numFmtId="0" fontId="0" fillId="0" borderId="0">
      <alignment vertical="center"/>
    </xf>
    <xf numFmtId="165" fontId="40" fillId="0" borderId="0" applyFont="0" applyFill="0" applyBorder="0" applyAlignment="0" applyProtection="0">
      <alignment vertical="center"/>
    </xf>
    <xf numFmtId="9" fontId="40" fillId="0" borderId="0" applyFont="0" applyFill="0" applyBorder="0" applyAlignment="0" applyProtection="0">
      <alignment vertical="center"/>
    </xf>
  </cellStyleXfs>
  <cellXfs count="301">
    <xf numFmtId="0" fontId="0" fillId="0" borderId="0" xfId="0" applyAlignment="1"/>
    <xf numFmtId="0" fontId="0" fillId="2" borderId="0" xfId="0" applyFill="1" applyAlignment="1"/>
    <xf numFmtId="0" fontId="0" fillId="4" borderId="3" xfId="0" applyFill="1" applyBorder="1" applyAlignment="1">
      <alignment horizontal="center" vertical="center"/>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2" borderId="6" xfId="0" applyFill="1" applyBorder="1" applyAlignment="1">
      <alignment horizontal="center" vertical="center"/>
    </xf>
    <xf numFmtId="3" fontId="0" fillId="2" borderId="7" xfId="2" applyNumberFormat="1" applyFont="1" applyFill="1" applyBorder="1" applyAlignment="1">
      <alignment horizontal="center" vertical="center"/>
    </xf>
    <xf numFmtId="9" fontId="0" fillId="2" borderId="8" xfId="2" applyFont="1" applyFill="1" applyBorder="1" applyAlignment="1">
      <alignment horizontal="center" vertical="center"/>
    </xf>
    <xf numFmtId="164" fontId="0" fillId="2" borderId="8" xfId="1" applyNumberFormat="1" applyFont="1" applyFill="1" applyBorder="1" applyAlignment="1">
      <alignment horizontal="center" vertical="center"/>
    </xf>
    <xf numFmtId="4" fontId="0" fillId="2" borderId="8" xfId="2" applyNumberFormat="1" applyFont="1" applyFill="1" applyBorder="1" applyAlignment="1">
      <alignment horizontal="center" vertical="center"/>
    </xf>
    <xf numFmtId="0" fontId="0" fillId="2" borderId="9" xfId="0" applyFill="1" applyBorder="1" applyAlignment="1">
      <alignment horizontal="center" vertical="center"/>
    </xf>
    <xf numFmtId="3" fontId="0" fillId="2" borderId="10" xfId="2" applyNumberFormat="1" applyFont="1" applyFill="1" applyBorder="1" applyAlignment="1">
      <alignment horizontal="center" vertical="center"/>
    </xf>
    <xf numFmtId="9" fontId="0" fillId="2" borderId="11" xfId="2" applyFont="1" applyFill="1" applyBorder="1" applyAlignment="1">
      <alignment horizontal="center" vertical="center"/>
    </xf>
    <xf numFmtId="164" fontId="0" fillId="2" borderId="11" xfId="1" applyNumberFormat="1" applyFont="1" applyFill="1" applyBorder="1" applyAlignment="1">
      <alignment horizontal="center" vertical="center"/>
    </xf>
    <xf numFmtId="4" fontId="0" fillId="2" borderId="11" xfId="2" applyNumberFormat="1" applyFont="1" applyFill="1" applyBorder="1" applyAlignment="1">
      <alignment horizontal="center" vertical="center"/>
    </xf>
    <xf numFmtId="0" fontId="0" fillId="2" borderId="12" xfId="0" applyFill="1" applyBorder="1" applyAlignment="1">
      <alignment horizontal="center" vertical="center"/>
    </xf>
    <xf numFmtId="3" fontId="0" fillId="2" borderId="13" xfId="2" applyNumberFormat="1" applyFont="1" applyFill="1" applyBorder="1" applyAlignment="1">
      <alignment horizontal="center" vertical="center"/>
    </xf>
    <xf numFmtId="9" fontId="0" fillId="2" borderId="14" xfId="2" applyFont="1" applyFill="1" applyBorder="1" applyAlignment="1">
      <alignment horizontal="center" vertical="center"/>
    </xf>
    <xf numFmtId="164" fontId="0" fillId="2" borderId="14" xfId="1" applyNumberFormat="1" applyFont="1" applyFill="1" applyBorder="1" applyAlignment="1">
      <alignment horizontal="center" vertical="center"/>
    </xf>
    <xf numFmtId="4" fontId="0" fillId="2" borderId="14" xfId="2" applyNumberFormat="1" applyFont="1" applyFill="1" applyBorder="1" applyAlignment="1">
      <alignment horizontal="center" vertical="center"/>
    </xf>
    <xf numFmtId="0" fontId="0" fillId="2" borderId="15" xfId="0" applyFill="1" applyBorder="1" applyAlignment="1">
      <alignment horizontal="center" vertical="center"/>
    </xf>
    <xf numFmtId="3" fontId="0" fillId="2" borderId="16" xfId="0" applyNumberFormat="1" applyFill="1" applyBorder="1" applyAlignment="1">
      <alignment horizontal="center" vertical="center"/>
    </xf>
    <xf numFmtId="9" fontId="0" fillId="2" borderId="17" xfId="0" applyNumberFormat="1" applyFill="1" applyBorder="1" applyAlignment="1">
      <alignment horizontal="center" vertical="center"/>
    </xf>
    <xf numFmtId="164" fontId="0" fillId="2" borderId="17" xfId="0" applyNumberFormat="1" applyFill="1" applyBorder="1" applyAlignment="1">
      <alignment horizontal="center" vertical="center"/>
    </xf>
    <xf numFmtId="4" fontId="0" fillId="2" borderId="17" xfId="0" applyNumberFormat="1" applyFill="1" applyBorder="1" applyAlignment="1">
      <alignment horizontal="center" vertical="center"/>
    </xf>
    <xf numFmtId="0" fontId="0" fillId="4" borderId="6" xfId="0" applyFill="1" applyBorder="1" applyAlignment="1">
      <alignment vertical="center"/>
    </xf>
    <xf numFmtId="170" fontId="0" fillId="2" borderId="19" xfId="0" applyNumberFormat="1" applyFill="1" applyBorder="1" applyAlignment="1">
      <alignment vertical="center"/>
    </xf>
    <xf numFmtId="0" fontId="0" fillId="4" borderId="9" xfId="0" applyFill="1" applyBorder="1" applyAlignment="1">
      <alignment vertical="center"/>
    </xf>
    <xf numFmtId="170" fontId="0" fillId="2" borderId="20" xfId="0" applyNumberFormat="1" applyFill="1" applyBorder="1" applyAlignment="1">
      <alignment vertical="center"/>
    </xf>
    <xf numFmtId="0" fontId="2" fillId="4" borderId="9" xfId="0" applyFont="1" applyFill="1" applyBorder="1" applyAlignment="1">
      <alignment vertical="center"/>
    </xf>
    <xf numFmtId="0" fontId="0" fillId="4" borderId="9" xfId="0" applyFill="1" applyBorder="1" applyAlignment="1">
      <alignment vertical="center" wrapText="1"/>
    </xf>
    <xf numFmtId="3" fontId="0" fillId="2" borderId="20" xfId="0" applyNumberFormat="1" applyFill="1" applyBorder="1" applyAlignment="1">
      <alignment vertical="center"/>
    </xf>
    <xf numFmtId="0" fontId="0" fillId="4" borderId="21" xfId="0" applyFill="1" applyBorder="1" applyAlignment="1">
      <alignment vertical="center" wrapText="1"/>
    </xf>
    <xf numFmtId="3" fontId="0" fillId="2" borderId="22" xfId="0" applyNumberFormat="1" applyFill="1" applyBorder="1" applyAlignment="1">
      <alignment horizontal="right" vertical="center"/>
    </xf>
    <xf numFmtId="0" fontId="0" fillId="4" borderId="23" xfId="0" applyFill="1" applyBorder="1" applyAlignment="1">
      <alignment horizontal="center" vertical="center" wrapText="1"/>
    </xf>
    <xf numFmtId="3" fontId="0" fillId="2" borderId="8" xfId="0" applyNumberFormat="1" applyFill="1" applyBorder="1" applyAlignment="1">
      <alignment horizontal="center" vertical="center"/>
    </xf>
    <xf numFmtId="4" fontId="0" fillId="2" borderId="24" xfId="0" applyNumberFormat="1" applyFill="1" applyBorder="1" applyAlignment="1">
      <alignment horizontal="center" vertical="center"/>
    </xf>
    <xf numFmtId="3" fontId="0" fillId="2" borderId="11" xfId="0" applyNumberFormat="1" applyFill="1" applyBorder="1" applyAlignment="1">
      <alignment horizontal="center" vertical="center"/>
    </xf>
    <xf numFmtId="4" fontId="0" fillId="2" borderId="25" xfId="0" applyNumberFormat="1" applyFill="1" applyBorder="1" applyAlignment="1">
      <alignment horizontal="center" vertical="center"/>
    </xf>
    <xf numFmtId="3" fontId="0" fillId="2" borderId="14" xfId="0" applyNumberFormat="1" applyFill="1" applyBorder="1" applyAlignment="1">
      <alignment horizontal="center" vertical="center"/>
    </xf>
    <xf numFmtId="4" fontId="0" fillId="2" borderId="26" xfId="0" applyNumberFormat="1" applyFill="1" applyBorder="1" applyAlignment="1">
      <alignment horizontal="center" vertical="center"/>
    </xf>
    <xf numFmtId="3" fontId="0" fillId="2" borderId="17" xfId="0" applyNumberFormat="1" applyFill="1" applyBorder="1" applyAlignment="1">
      <alignment horizontal="center" vertical="center"/>
    </xf>
    <xf numFmtId="4" fontId="0" fillId="2" borderId="27" xfId="0" applyNumberFormat="1" applyFill="1" applyBorder="1" applyAlignment="1">
      <alignment horizontal="center" vertical="center"/>
    </xf>
    <xf numFmtId="3" fontId="0" fillId="2" borderId="0" xfId="0" applyNumberFormat="1" applyFill="1" applyAlignment="1"/>
    <xf numFmtId="0" fontId="0" fillId="2" borderId="0" xfId="0" applyFill="1" applyAlignment="1" applyProtection="1">
      <alignment wrapText="1"/>
    </xf>
    <xf numFmtId="0" fontId="0" fillId="2" borderId="0" xfId="0" applyFill="1" applyAlignment="1" applyProtection="1"/>
    <xf numFmtId="0" fontId="0" fillId="4" borderId="0" xfId="0" applyFill="1" applyAlignment="1" applyProtection="1"/>
    <xf numFmtId="0" fontId="3" fillId="4" borderId="0" xfId="0" applyFont="1" applyFill="1" applyAlignment="1" applyProtection="1"/>
    <xf numFmtId="0" fontId="3" fillId="2" borderId="0" xfId="0" applyFont="1" applyFill="1" applyAlignment="1" applyProtection="1"/>
    <xf numFmtId="0" fontId="8" fillId="2" borderId="0" xfId="0" applyFont="1" applyFill="1" applyBorder="1" applyAlignment="1" applyProtection="1">
      <alignment vertical="center"/>
    </xf>
    <xf numFmtId="0" fontId="3" fillId="2" borderId="0" xfId="0" applyFont="1" applyFill="1" applyAlignment="1" applyProtection="1">
      <alignment wrapText="1"/>
    </xf>
    <xf numFmtId="0" fontId="3" fillId="2" borderId="38" xfId="0" applyFont="1" applyFill="1" applyBorder="1" applyAlignment="1" applyProtection="1">
      <alignment horizontal="left" vertical="center" wrapText="1"/>
    </xf>
    <xf numFmtId="0" fontId="3" fillId="2" borderId="39"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171" fontId="3" fillId="2" borderId="40" xfId="1" applyNumberFormat="1" applyFont="1" applyFill="1" applyBorder="1" applyAlignment="1" applyProtection="1">
      <alignment horizontal="center" vertical="center" wrapText="1"/>
    </xf>
    <xf numFmtId="171" fontId="3" fillId="2" borderId="39" xfId="1" applyNumberFormat="1" applyFont="1" applyFill="1" applyBorder="1" applyAlignment="1" applyProtection="1">
      <alignment horizontal="center" vertical="center" wrapText="1"/>
    </xf>
    <xf numFmtId="0" fontId="9" fillId="2" borderId="0" xfId="0" applyFont="1" applyFill="1" applyAlignment="1" applyProtection="1">
      <alignment wrapText="1"/>
    </xf>
    <xf numFmtId="0" fontId="3" fillId="5" borderId="38" xfId="0" applyFont="1" applyFill="1" applyBorder="1" applyAlignment="1" applyProtection="1">
      <alignment horizontal="left" vertical="center" wrapText="1"/>
    </xf>
    <xf numFmtId="0" fontId="3" fillId="5" borderId="32" xfId="0" applyFont="1" applyFill="1" applyBorder="1" applyAlignment="1" applyProtection="1">
      <alignment horizontal="center" vertical="center" wrapText="1"/>
    </xf>
    <xf numFmtId="0" fontId="3" fillId="5" borderId="0" xfId="0" applyFont="1" applyFill="1" applyBorder="1" applyAlignment="1" applyProtection="1">
      <alignment vertical="center" wrapText="1"/>
    </xf>
    <xf numFmtId="0" fontId="3" fillId="5" borderId="39"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170" fontId="3" fillId="2" borderId="40" xfId="0" applyNumberFormat="1" applyFont="1" applyFill="1" applyBorder="1" applyAlignment="1" applyProtection="1">
      <alignment horizontal="center" vertical="center" wrapText="1"/>
    </xf>
    <xf numFmtId="0" fontId="3" fillId="2" borderId="41" xfId="0" applyFont="1" applyFill="1" applyBorder="1" applyAlignment="1" applyProtection="1">
      <alignment horizontal="left" vertical="center" wrapText="1"/>
    </xf>
    <xf numFmtId="172" fontId="3" fillId="2" borderId="42" xfId="0" applyNumberFormat="1" applyFont="1" applyFill="1" applyBorder="1" applyAlignment="1" applyProtection="1">
      <alignment horizontal="center" vertical="center" wrapText="1"/>
    </xf>
    <xf numFmtId="0" fontId="3" fillId="2" borderId="43" xfId="0" applyFont="1" applyFill="1" applyBorder="1" applyAlignment="1" applyProtection="1">
      <alignment horizontal="left" vertical="center" wrapText="1"/>
    </xf>
    <xf numFmtId="171" fontId="3" fillId="2" borderId="44" xfId="1" applyNumberFormat="1" applyFont="1" applyFill="1" applyBorder="1" applyAlignment="1" applyProtection="1">
      <alignment horizontal="center" vertical="center" wrapText="1"/>
    </xf>
    <xf numFmtId="0" fontId="3" fillId="2" borderId="45" xfId="0" applyFont="1" applyFill="1" applyBorder="1" applyAlignment="1" applyProtection="1">
      <alignment horizontal="left" vertical="center" wrapText="1"/>
    </xf>
    <xf numFmtId="171" fontId="3" fillId="2" borderId="46" xfId="1" applyNumberFormat="1" applyFont="1" applyFill="1" applyBorder="1" applyAlignment="1" applyProtection="1">
      <alignment horizontal="center" vertical="center" wrapText="1"/>
    </xf>
    <xf numFmtId="0" fontId="3" fillId="2" borderId="29" xfId="0" applyFont="1" applyFill="1" applyBorder="1" applyAlignment="1" applyProtection="1">
      <alignment horizontal="right" vertical="center" wrapText="1"/>
    </xf>
    <xf numFmtId="0" fontId="3" fillId="2" borderId="29" xfId="0" applyFont="1" applyFill="1" applyBorder="1" applyAlignment="1" applyProtection="1">
      <alignment vertical="center" wrapText="1"/>
    </xf>
    <xf numFmtId="1" fontId="3" fillId="2" borderId="29" xfId="0" applyNumberFormat="1" applyFont="1" applyFill="1" applyBorder="1" applyAlignment="1" applyProtection="1">
      <alignment horizontal="right" vertical="center" wrapText="1"/>
    </xf>
    <xf numFmtId="0" fontId="10" fillId="2" borderId="0" xfId="0" applyFont="1" applyFill="1" applyAlignment="1" applyProtection="1"/>
    <xf numFmtId="0" fontId="0" fillId="0" borderId="0" xfId="0" applyAlignment="1" applyProtection="1"/>
    <xf numFmtId="0" fontId="3" fillId="2" borderId="48" xfId="0" applyFont="1" applyFill="1" applyBorder="1" applyAlignment="1" applyProtection="1">
      <alignment horizontal="left" vertical="center"/>
    </xf>
    <xf numFmtId="2" fontId="3" fillId="2" borderId="49" xfId="0" applyNumberFormat="1" applyFont="1" applyFill="1" applyBorder="1" applyAlignment="1" applyProtection="1">
      <alignment horizontal="center" vertical="center"/>
    </xf>
    <xf numFmtId="0" fontId="3" fillId="2" borderId="50" xfId="0" applyFont="1" applyFill="1" applyBorder="1" applyAlignment="1" applyProtection="1">
      <alignment horizontal="left" vertical="center"/>
    </xf>
    <xf numFmtId="2" fontId="3" fillId="2" borderId="51" xfId="0" applyNumberFormat="1" applyFont="1" applyFill="1" applyBorder="1" applyAlignment="1" applyProtection="1">
      <alignment horizontal="center" vertical="center"/>
    </xf>
    <xf numFmtId="0" fontId="3" fillId="2" borderId="50" xfId="0" applyFont="1" applyFill="1" applyBorder="1" applyAlignment="1" applyProtection="1">
      <alignment horizontal="left" vertical="center" wrapText="1"/>
    </xf>
    <xf numFmtId="170" fontId="3" fillId="2" borderId="51" xfId="0" applyNumberFormat="1" applyFont="1" applyFill="1" applyBorder="1" applyAlignment="1" applyProtection="1">
      <alignment horizontal="center" vertical="center"/>
    </xf>
    <xf numFmtId="0" fontId="3" fillId="2" borderId="52" xfId="0" applyFont="1" applyFill="1" applyBorder="1" applyAlignment="1" applyProtection="1">
      <alignment horizontal="left" vertical="center"/>
    </xf>
    <xf numFmtId="172" fontId="3" fillId="2" borderId="53" xfId="0" applyNumberFormat="1" applyFont="1" applyFill="1" applyBorder="1" applyAlignment="1" applyProtection="1">
      <alignment horizontal="center" vertical="center"/>
    </xf>
    <xf numFmtId="0" fontId="3" fillId="2" borderId="54" xfId="0" applyFont="1" applyFill="1" applyBorder="1" applyAlignment="1" applyProtection="1">
      <alignment horizontal="left" vertical="center"/>
    </xf>
    <xf numFmtId="2" fontId="3" fillId="2" borderId="55" xfId="0" applyNumberFormat="1" applyFont="1" applyFill="1" applyBorder="1" applyAlignment="1" applyProtection="1">
      <alignment horizontal="center" vertical="center"/>
    </xf>
    <xf numFmtId="0" fontId="3" fillId="2" borderId="56" xfId="0" applyFont="1" applyFill="1" applyBorder="1" applyAlignment="1" applyProtection="1">
      <alignment horizontal="left" vertical="center"/>
    </xf>
    <xf numFmtId="172" fontId="3" fillId="2" borderId="57" xfId="0" applyNumberFormat="1" applyFont="1" applyFill="1" applyBorder="1" applyAlignment="1" applyProtection="1">
      <alignment horizontal="center" vertical="center"/>
    </xf>
    <xf numFmtId="11" fontId="3" fillId="2" borderId="55" xfId="0" applyNumberFormat="1"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3" fillId="2" borderId="52" xfId="0" applyFont="1" applyFill="1" applyBorder="1" applyAlignment="1" applyProtection="1">
      <alignment horizontal="left" vertical="center" wrapText="1"/>
    </xf>
    <xf numFmtId="170" fontId="3" fillId="2" borderId="53" xfId="0" applyNumberFormat="1" applyFont="1" applyFill="1" applyBorder="1" applyAlignment="1" applyProtection="1">
      <alignment horizontal="center" vertical="center"/>
    </xf>
    <xf numFmtId="0" fontId="3" fillId="2" borderId="58" xfId="0" applyFont="1" applyFill="1" applyBorder="1" applyAlignment="1" applyProtection="1">
      <alignment horizontal="left" vertical="center" wrapText="1"/>
    </xf>
    <xf numFmtId="171" fontId="3" fillId="2" borderId="59" xfId="1" applyNumberFormat="1" applyFont="1" applyFill="1" applyBorder="1" applyAlignment="1" applyProtection="1">
      <alignment horizontal="center" vertical="center"/>
    </xf>
    <xf numFmtId="0" fontId="3" fillId="2" borderId="60" xfId="0" applyFont="1" applyFill="1" applyBorder="1" applyAlignment="1" applyProtection="1">
      <alignment horizontal="left" vertical="center" wrapText="1"/>
    </xf>
    <xf numFmtId="171" fontId="3" fillId="2" borderId="61" xfId="1" applyNumberFormat="1" applyFont="1" applyFill="1" applyBorder="1" applyAlignment="1" applyProtection="1">
      <alignment horizontal="center" vertical="center"/>
    </xf>
    <xf numFmtId="0" fontId="0" fillId="2" borderId="58" xfId="0" applyFill="1" applyBorder="1" applyAlignment="1">
      <alignment wrapText="1"/>
    </xf>
    <xf numFmtId="0" fontId="0" fillId="2" borderId="59" xfId="0" applyFill="1" applyBorder="1" applyAlignment="1">
      <alignment horizontal="left"/>
    </xf>
    <xf numFmtId="0" fontId="0" fillId="2" borderId="50" xfId="0" applyFill="1" applyBorder="1" applyAlignment="1">
      <alignment wrapText="1"/>
    </xf>
    <xf numFmtId="0" fontId="0" fillId="2" borderId="51" xfId="0" applyFill="1" applyBorder="1" applyAlignment="1">
      <alignment horizontal="left"/>
    </xf>
    <xf numFmtId="3" fontId="0" fillId="2" borderId="51" xfId="0" applyNumberFormat="1" applyFill="1" applyBorder="1" applyAlignment="1">
      <alignment horizontal="left"/>
    </xf>
    <xf numFmtId="0" fontId="2" fillId="2" borderId="50" xfId="0" applyFont="1" applyFill="1" applyBorder="1" applyAlignment="1">
      <alignment wrapText="1"/>
    </xf>
    <xf numFmtId="169" fontId="0" fillId="2" borderId="51" xfId="0" applyNumberFormat="1" applyFill="1" applyBorder="1" applyAlignment="1">
      <alignment horizontal="left"/>
    </xf>
    <xf numFmtId="1" fontId="0" fillId="2" borderId="51" xfId="0" applyNumberFormat="1" applyFill="1" applyBorder="1" applyAlignment="1">
      <alignment horizontal="left"/>
    </xf>
    <xf numFmtId="0" fontId="0" fillId="2" borderId="60" xfId="0" applyFill="1" applyBorder="1" applyAlignment="1">
      <alignment wrapText="1"/>
    </xf>
    <xf numFmtId="1" fontId="0" fillId="2" borderId="61" xfId="0" applyNumberFormat="1" applyFill="1" applyBorder="1" applyAlignment="1">
      <alignment horizontal="left"/>
    </xf>
    <xf numFmtId="0" fontId="0" fillId="2" borderId="58" xfId="0" applyFill="1" applyBorder="1" applyAlignment="1"/>
    <xf numFmtId="2" fontId="0" fillId="2" borderId="59" xfId="0" applyNumberFormat="1" applyFill="1" applyBorder="1" applyAlignment="1">
      <alignment horizontal="left"/>
    </xf>
    <xf numFmtId="0" fontId="0" fillId="2" borderId="50" xfId="0" applyFill="1" applyBorder="1" applyAlignment="1"/>
    <xf numFmtId="2" fontId="0" fillId="2" borderId="51" xfId="0" applyNumberFormat="1" applyFill="1" applyBorder="1" applyAlignment="1">
      <alignment horizontal="left"/>
    </xf>
    <xf numFmtId="173" fontId="0" fillId="2" borderId="51" xfId="0" applyNumberFormat="1" applyFill="1" applyBorder="1" applyAlignment="1">
      <alignment horizontal="left"/>
    </xf>
    <xf numFmtId="0" fontId="0" fillId="2" borderId="60" xfId="0" applyFill="1" applyBorder="1" applyAlignment="1"/>
    <xf numFmtId="167" fontId="0" fillId="2" borderId="51" xfId="0" applyNumberFormat="1" applyFill="1" applyBorder="1" applyAlignment="1">
      <alignment horizontal="left"/>
    </xf>
    <xf numFmtId="11" fontId="0" fillId="2" borderId="59" xfId="0" applyNumberFormat="1" applyFill="1" applyBorder="1" applyAlignment="1">
      <alignment horizontal="left"/>
    </xf>
    <xf numFmtId="167" fontId="0" fillId="2" borderId="61" xfId="0" applyNumberFormat="1" applyFill="1" applyBorder="1" applyAlignment="1">
      <alignment horizontal="left"/>
    </xf>
    <xf numFmtId="0" fontId="2" fillId="2" borderId="60" xfId="0" applyFont="1" applyFill="1" applyBorder="1" applyAlignment="1">
      <alignment wrapText="1"/>
    </xf>
    <xf numFmtId="173" fontId="0" fillId="2" borderId="61" xfId="0" applyNumberFormat="1" applyFill="1" applyBorder="1" applyAlignment="1">
      <alignment horizontal="left"/>
    </xf>
    <xf numFmtId="0" fontId="0" fillId="2" borderId="0" xfId="0"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0" fillId="2" borderId="58" xfId="0" applyFill="1" applyBorder="1" applyAlignment="1">
      <alignment vertical="center" wrapText="1"/>
    </xf>
    <xf numFmtId="2" fontId="0" fillId="2" borderId="59" xfId="0" applyNumberFormat="1" applyFill="1" applyBorder="1" applyAlignment="1">
      <alignment vertical="center" wrapText="1"/>
    </xf>
    <xf numFmtId="0" fontId="2" fillId="2" borderId="50" xfId="0" applyFont="1" applyFill="1" applyBorder="1" applyAlignment="1">
      <alignment vertical="center" wrapText="1"/>
    </xf>
    <xf numFmtId="167" fontId="0" fillId="2" borderId="51" xfId="0" applyNumberFormat="1" applyFill="1" applyBorder="1" applyAlignment="1">
      <alignment vertical="center"/>
    </xf>
    <xf numFmtId="0" fontId="0" fillId="2" borderId="60" xfId="0" applyFill="1" applyBorder="1" applyAlignment="1">
      <alignment vertical="center" wrapText="1"/>
    </xf>
    <xf numFmtId="167" fontId="0" fillId="2" borderId="61" xfId="0" applyNumberFormat="1" applyFill="1" applyBorder="1" applyAlignment="1">
      <alignment vertical="center"/>
    </xf>
    <xf numFmtId="0" fontId="0" fillId="2" borderId="64" xfId="0" applyFill="1" applyBorder="1" applyAlignment="1" applyProtection="1">
      <alignment vertical="center"/>
      <protection locked="0"/>
    </xf>
    <xf numFmtId="2" fontId="0" fillId="2" borderId="59" xfId="0" applyNumberFormat="1" applyFill="1" applyBorder="1" applyAlignment="1">
      <alignment vertical="center"/>
    </xf>
    <xf numFmtId="0" fontId="0" fillId="2" borderId="65" xfId="0" applyFill="1" applyBorder="1" applyAlignment="1" applyProtection="1">
      <alignment horizontal="right" vertical="center"/>
      <protection locked="0"/>
    </xf>
    <xf numFmtId="0" fontId="0" fillId="2" borderId="66" xfId="0" applyFill="1" applyBorder="1" applyAlignment="1" applyProtection="1">
      <alignment horizontal="right" vertical="center"/>
      <protection locked="0"/>
    </xf>
    <xf numFmtId="0" fontId="0" fillId="2" borderId="67" xfId="0" applyFill="1" applyBorder="1" applyAlignment="1" applyProtection="1">
      <alignment vertical="center"/>
      <protection locked="0"/>
    </xf>
    <xf numFmtId="0" fontId="0" fillId="2" borderId="68" xfId="0" applyFill="1" applyBorder="1" applyAlignment="1" applyProtection="1">
      <alignment horizontal="right" vertical="center"/>
      <protection locked="0"/>
    </xf>
    <xf numFmtId="0" fontId="0" fillId="2" borderId="69" xfId="0" applyFill="1" applyBorder="1" applyAlignment="1" applyProtection="1">
      <alignment horizontal="right" vertical="center"/>
      <protection locked="0"/>
    </xf>
    <xf numFmtId="11" fontId="0" fillId="2" borderId="69" xfId="0" applyNumberFormat="1" applyFill="1" applyBorder="1" applyAlignment="1" applyProtection="1">
      <alignment horizontal="right" vertical="center"/>
      <protection locked="0"/>
    </xf>
    <xf numFmtId="0" fontId="0" fillId="2" borderId="0" xfId="0" applyFill="1" applyBorder="1" applyAlignment="1" applyProtection="1">
      <alignment vertical="center"/>
      <protection locked="0"/>
    </xf>
    <xf numFmtId="0" fontId="0" fillId="2" borderId="58" xfId="0" applyFill="1" applyBorder="1" applyAlignment="1">
      <alignment vertical="center"/>
    </xf>
    <xf numFmtId="2" fontId="0" fillId="2" borderId="69" xfId="0" applyNumberFormat="1" applyFill="1" applyBorder="1" applyAlignment="1" applyProtection="1">
      <alignment horizontal="right" vertical="center"/>
      <protection locked="0"/>
    </xf>
    <xf numFmtId="0" fontId="0" fillId="2" borderId="50" xfId="0" applyFill="1" applyBorder="1" applyAlignment="1">
      <alignment vertical="center"/>
    </xf>
    <xf numFmtId="173" fontId="0" fillId="2" borderId="51" xfId="0" applyNumberFormat="1" applyFill="1" applyBorder="1" applyAlignment="1">
      <alignment vertical="center"/>
    </xf>
    <xf numFmtId="1" fontId="0" fillId="2" borderId="69" xfId="0" applyNumberFormat="1" applyFill="1" applyBorder="1" applyAlignment="1" applyProtection="1">
      <alignment horizontal="right" vertical="center"/>
      <protection locked="0"/>
    </xf>
    <xf numFmtId="0" fontId="0" fillId="2" borderId="45" xfId="0" applyFill="1" applyBorder="1" applyAlignment="1" applyProtection="1">
      <alignment horizontal="right" vertical="center"/>
      <protection locked="0"/>
    </xf>
    <xf numFmtId="0" fontId="0" fillId="2" borderId="70" xfId="0" applyFill="1" applyBorder="1" applyAlignment="1" applyProtection="1">
      <alignment horizontal="right" vertical="center"/>
      <protection locked="0"/>
    </xf>
    <xf numFmtId="0" fontId="0" fillId="2" borderId="34" xfId="0" applyFill="1" applyBorder="1" applyAlignment="1" applyProtection="1">
      <alignment vertical="center"/>
      <protection locked="0"/>
    </xf>
    <xf numFmtId="0" fontId="0" fillId="2" borderId="60" xfId="0" applyFill="1" applyBorder="1" applyAlignment="1">
      <alignment vertical="center"/>
    </xf>
    <xf numFmtId="0" fontId="0" fillId="2" borderId="59" xfId="0" applyFill="1" applyBorder="1" applyAlignment="1">
      <alignment vertical="center"/>
    </xf>
    <xf numFmtId="1" fontId="0" fillId="2" borderId="51" xfId="0" applyNumberFormat="1" applyFill="1" applyBorder="1" applyAlignment="1">
      <alignment vertical="center"/>
    </xf>
    <xf numFmtId="1" fontId="0" fillId="2" borderId="61" xfId="0" applyNumberFormat="1" applyFill="1" applyBorder="1" applyAlignment="1">
      <alignment vertical="center"/>
    </xf>
    <xf numFmtId="0" fontId="0" fillId="2" borderId="73" xfId="0" applyFill="1" applyBorder="1" applyAlignment="1" applyProtection="1">
      <alignment horizontal="right" vertical="center"/>
      <protection locked="0"/>
    </xf>
    <xf numFmtId="0" fontId="0" fillId="2" borderId="74" xfId="0" applyFill="1" applyBorder="1" applyAlignment="1" applyProtection="1">
      <alignment horizontal="right" vertical="center"/>
      <protection locked="0"/>
    </xf>
    <xf numFmtId="0" fontId="0" fillId="2" borderId="75" xfId="0" applyFill="1" applyBorder="1" applyAlignment="1" applyProtection="1">
      <alignment horizontal="right" vertical="center"/>
      <protection locked="0"/>
    </xf>
    <xf numFmtId="0" fontId="0" fillId="2" borderId="40" xfId="0" applyFill="1" applyBorder="1" applyAlignment="1" applyProtection="1">
      <alignment horizontal="right" vertical="center"/>
      <protection locked="0"/>
    </xf>
    <xf numFmtId="11" fontId="0" fillId="2" borderId="40" xfId="0" applyNumberFormat="1" applyFill="1" applyBorder="1" applyAlignment="1" applyProtection="1">
      <alignment horizontal="right" vertical="center"/>
      <protection locked="0"/>
    </xf>
    <xf numFmtId="2" fontId="0" fillId="2" borderId="40" xfId="0" applyNumberFormat="1" applyFill="1" applyBorder="1" applyAlignment="1" applyProtection="1">
      <alignment horizontal="right" vertical="center"/>
      <protection locked="0"/>
    </xf>
    <xf numFmtId="1" fontId="0" fillId="2" borderId="40" xfId="0" applyNumberFormat="1" applyFill="1" applyBorder="1" applyAlignment="1" applyProtection="1">
      <alignment horizontal="right" vertical="center"/>
      <protection locked="0"/>
    </xf>
    <xf numFmtId="0" fontId="0" fillId="2" borderId="76" xfId="0" applyFill="1" applyBorder="1" applyAlignment="1" applyProtection="1">
      <alignment horizontal="right" vertical="center"/>
      <protection locked="0"/>
    </xf>
    <xf numFmtId="0" fontId="0" fillId="2" borderId="46" xfId="0" applyFill="1" applyBorder="1" applyAlignment="1" applyProtection="1">
      <alignment horizontal="right" vertical="center"/>
      <protection locked="0"/>
    </xf>
    <xf numFmtId="0" fontId="3" fillId="2" borderId="0" xfId="0" applyFont="1" applyFill="1" applyAlignment="1" applyProtection="1">
      <alignment horizontal="center" vertical="center"/>
    </xf>
    <xf numFmtId="0" fontId="3" fillId="2" borderId="0" xfId="0" applyFont="1" applyFill="1" applyAlignment="1" applyProtection="1">
      <alignment horizontal="center"/>
    </xf>
    <xf numFmtId="0" fontId="15" fillId="4" borderId="0" xfId="0" applyFont="1" applyFill="1" applyAlignment="1" applyProtection="1"/>
    <xf numFmtId="0" fontId="15" fillId="6" borderId="0" xfId="0" applyFont="1" applyFill="1" applyBorder="1" applyAlignment="1" applyProtection="1"/>
    <xf numFmtId="0" fontId="16" fillId="6" borderId="0" xfId="0" applyFont="1" applyFill="1" applyBorder="1" applyAlignment="1" applyProtection="1">
      <alignment horizontal="left" vertical="top" wrapText="1"/>
    </xf>
    <xf numFmtId="0" fontId="16" fillId="6" borderId="0" xfId="0" applyFont="1" applyFill="1" applyBorder="1" applyAlignment="1" applyProtection="1">
      <alignment horizontal="left" vertical="top"/>
    </xf>
    <xf numFmtId="0" fontId="16" fillId="4" borderId="0" xfId="0" applyFont="1" applyFill="1" applyBorder="1" applyAlignment="1" applyProtection="1">
      <alignment horizontal="left" vertical="top"/>
    </xf>
    <xf numFmtId="0" fontId="3" fillId="4" borderId="0" xfId="0" applyFont="1" applyFill="1" applyAlignment="1" applyProtection="1">
      <alignment horizontal="center" vertical="center"/>
    </xf>
    <xf numFmtId="0" fontId="15" fillId="2" borderId="0" xfId="0" applyFont="1" applyFill="1" applyAlignment="1" applyProtection="1">
      <alignment horizontal="center" vertical="center"/>
    </xf>
    <xf numFmtId="0" fontId="20" fillId="6" borderId="0" xfId="0" applyFont="1" applyFill="1" applyBorder="1" applyAlignment="1" applyProtection="1"/>
    <xf numFmtId="0" fontId="20" fillId="4" borderId="0" xfId="0" applyFont="1" applyFill="1" applyBorder="1" applyAlignment="1" applyProtection="1"/>
    <xf numFmtId="0" fontId="15" fillId="2" borderId="0" xfId="0" applyFont="1" applyFill="1" applyAlignment="1" applyProtection="1"/>
    <xf numFmtId="0" fontId="0" fillId="6" borderId="0" xfId="0" applyNumberFormat="1" applyFill="1" applyBorder="1" applyAlignment="1" applyProtection="1"/>
    <xf numFmtId="0" fontId="0" fillId="4" borderId="0" xfId="0" applyNumberFormat="1" applyFill="1" applyBorder="1" applyAlignment="1" applyProtection="1"/>
    <xf numFmtId="0" fontId="15" fillId="2" borderId="77" xfId="0" applyFont="1" applyFill="1" applyBorder="1" applyAlignment="1" applyProtection="1">
      <alignment vertical="center"/>
    </xf>
    <xf numFmtId="0" fontId="15" fillId="2" borderId="78" xfId="0" applyFont="1" applyFill="1" applyBorder="1" applyAlignment="1" applyProtection="1">
      <alignment vertical="center"/>
    </xf>
    <xf numFmtId="0" fontId="15" fillId="2" borderId="79" xfId="0" applyFont="1" applyFill="1" applyBorder="1" applyAlignment="1" applyProtection="1">
      <alignment vertical="center"/>
    </xf>
    <xf numFmtId="0" fontId="15" fillId="2" borderId="0" xfId="0" applyFont="1" applyFill="1" applyAlignment="1" applyProtection="1">
      <alignment vertical="top" wrapText="1"/>
    </xf>
    <xf numFmtId="0" fontId="15" fillId="5" borderId="0" xfId="0" applyFont="1" applyFill="1" applyAlignment="1" applyProtection="1">
      <alignment vertical="top" wrapText="1"/>
    </xf>
    <xf numFmtId="0" fontId="15" fillId="4" borderId="0" xfId="0" applyFont="1" applyFill="1" applyAlignment="1" applyProtection="1">
      <alignment vertical="top" wrapText="1"/>
    </xf>
    <xf numFmtId="0" fontId="15" fillId="2" borderId="80" xfId="0" applyFont="1" applyFill="1" applyBorder="1" applyAlignment="1" applyProtection="1">
      <alignment horizontal="left" vertical="center" wrapText="1"/>
    </xf>
    <xf numFmtId="0" fontId="15" fillId="2" borderId="78" xfId="0" applyFont="1" applyFill="1" applyBorder="1" applyAlignment="1" applyProtection="1">
      <alignment horizontal="left" vertical="center" wrapText="1"/>
    </xf>
    <xf numFmtId="0" fontId="15" fillId="2" borderId="79" xfId="0" applyFont="1" applyFill="1" applyBorder="1" applyAlignment="1" applyProtection="1">
      <alignment horizontal="left" vertical="center" wrapText="1"/>
    </xf>
    <xf numFmtId="0" fontId="15" fillId="5" borderId="0" xfId="0" applyFont="1" applyFill="1" applyAlignment="1" applyProtection="1"/>
    <xf numFmtId="0" fontId="3" fillId="4" borderId="0" xfId="0" applyFont="1" applyFill="1" applyAlignment="1" applyProtection="1">
      <alignment wrapText="1"/>
    </xf>
    <xf numFmtId="0" fontId="15" fillId="2" borderId="80" xfId="0" applyFont="1" applyFill="1" applyBorder="1" applyAlignment="1" applyProtection="1">
      <alignment horizontal="left" wrapText="1"/>
    </xf>
    <xf numFmtId="0" fontId="15" fillId="2" borderId="79" xfId="0" applyFont="1" applyFill="1" applyBorder="1" applyAlignment="1" applyProtection="1">
      <alignment horizontal="left" wrapText="1"/>
    </xf>
    <xf numFmtId="0" fontId="22" fillId="2" borderId="0" xfId="0" applyFont="1" applyFill="1" applyAlignment="1" applyProtection="1"/>
    <xf numFmtId="0" fontId="3" fillId="4" borderId="0" xfId="0" applyFont="1" applyFill="1" applyAlignment="1" applyProtection="1">
      <alignment horizontal="center"/>
    </xf>
    <xf numFmtId="0" fontId="15" fillId="4" borderId="0" xfId="0" applyFont="1" applyFill="1" applyAlignment="1" applyProtection="1">
      <alignment horizontal="center"/>
    </xf>
    <xf numFmtId="0" fontId="23" fillId="4" borderId="0" xfId="0" applyFont="1" applyFill="1" applyAlignment="1" applyProtection="1">
      <alignment horizontal="center"/>
    </xf>
    <xf numFmtId="0" fontId="15" fillId="4" borderId="81" xfId="0" applyFont="1" applyFill="1" applyBorder="1" applyAlignment="1" applyProtection="1">
      <alignment horizontal="center" vertical="center" wrapText="1"/>
    </xf>
    <xf numFmtId="0" fontId="15" fillId="2" borderId="0" xfId="0" applyFont="1" applyFill="1" applyAlignment="1" applyProtection="1">
      <alignment horizontal="center"/>
    </xf>
    <xf numFmtId="0" fontId="15" fillId="7" borderId="82" xfId="0" applyFont="1" applyFill="1" applyBorder="1" applyAlignment="1" applyProtection="1">
      <alignment horizontal="center" vertical="center"/>
      <protection locked="0"/>
    </xf>
    <xf numFmtId="10" fontId="15" fillId="7" borderId="83" xfId="2" applyNumberFormat="1" applyFont="1" applyFill="1" applyBorder="1" applyAlignment="1" applyProtection="1">
      <alignment horizontal="center" vertical="center"/>
      <protection locked="0"/>
    </xf>
    <xf numFmtId="0" fontId="15" fillId="7" borderId="84" xfId="0" applyFont="1" applyFill="1" applyBorder="1" applyAlignment="1" applyProtection="1">
      <alignment horizontal="center" vertical="center"/>
      <protection locked="0"/>
    </xf>
    <xf numFmtId="10" fontId="15" fillId="7" borderId="85" xfId="2" applyNumberFormat="1" applyFont="1" applyFill="1" applyBorder="1" applyAlignment="1" applyProtection="1">
      <alignment horizontal="center" vertical="center"/>
      <protection locked="0"/>
    </xf>
    <xf numFmtId="0" fontId="15" fillId="8" borderId="84" xfId="0" applyFont="1" applyFill="1" applyBorder="1" applyAlignment="1" applyProtection="1">
      <alignment horizontal="center" vertical="center"/>
    </xf>
    <xf numFmtId="0" fontId="15" fillId="7" borderId="86" xfId="0" applyFont="1" applyFill="1" applyBorder="1" applyAlignment="1" applyProtection="1">
      <alignment horizontal="center" vertical="center"/>
      <protection locked="0"/>
    </xf>
    <xf numFmtId="10" fontId="15" fillId="7" borderId="19" xfId="2" applyNumberFormat="1" applyFont="1" applyFill="1" applyBorder="1" applyAlignment="1" applyProtection="1">
      <alignment horizontal="center" vertical="center"/>
      <protection locked="0"/>
    </xf>
    <xf numFmtId="10" fontId="15" fillId="7" borderId="20" xfId="2" applyNumberFormat="1" applyFont="1" applyFill="1" applyBorder="1" applyAlignment="1" applyProtection="1">
      <alignment horizontal="center" vertical="center"/>
      <protection locked="0"/>
    </xf>
    <xf numFmtId="0" fontId="15" fillId="7" borderId="87" xfId="0" applyFont="1" applyFill="1" applyBorder="1" applyAlignment="1" applyProtection="1">
      <alignment horizontal="center" vertical="center"/>
      <protection locked="0"/>
    </xf>
    <xf numFmtId="10" fontId="15" fillId="7" borderId="22" xfId="2" applyNumberFormat="1" applyFont="1" applyFill="1" applyBorder="1" applyAlignment="1" applyProtection="1">
      <alignment horizontal="center" vertical="center"/>
      <protection locked="0"/>
    </xf>
    <xf numFmtId="0" fontId="9" fillId="2" borderId="0" xfId="0" applyFont="1" applyFill="1" applyAlignment="1" applyProtection="1">
      <alignment vertical="top"/>
    </xf>
    <xf numFmtId="0" fontId="9" fillId="2" borderId="0" xfId="0" applyFont="1" applyFill="1" applyAlignment="1" applyProtection="1">
      <alignment vertical="top" wrapText="1"/>
    </xf>
    <xf numFmtId="0" fontId="9" fillId="5" borderId="31" xfId="0" applyFont="1" applyFill="1" applyBorder="1" applyAlignment="1" applyProtection="1">
      <alignment vertical="top"/>
    </xf>
    <xf numFmtId="0" fontId="3" fillId="6" borderId="0" xfId="0" applyFont="1" applyFill="1" applyAlignment="1" applyProtection="1"/>
    <xf numFmtId="0" fontId="3" fillId="5" borderId="0" xfId="0" applyFont="1" applyFill="1" applyAlignment="1" applyProtection="1">
      <alignment horizontal="center"/>
    </xf>
    <xf numFmtId="0" fontId="3" fillId="6" borderId="31" xfId="0" applyFont="1" applyFill="1" applyBorder="1" applyAlignment="1" applyProtection="1"/>
    <xf numFmtId="0" fontId="3" fillId="6" borderId="0" xfId="0" applyFont="1" applyFill="1" applyAlignment="1" applyProtection="1">
      <alignment vertical="top" wrapText="1"/>
    </xf>
    <xf numFmtId="0" fontId="3" fillId="5" borderId="0" xfId="0" applyFont="1" applyFill="1" applyAlignment="1" applyProtection="1"/>
    <xf numFmtId="171" fontId="15" fillId="7" borderId="82" xfId="1" applyNumberFormat="1" applyFont="1" applyFill="1" applyBorder="1" applyAlignment="1" applyProtection="1">
      <alignment horizontal="center" vertical="center"/>
      <protection locked="0"/>
    </xf>
    <xf numFmtId="10" fontId="15" fillId="8" borderId="87" xfId="2" applyNumberFormat="1" applyFont="1" applyFill="1" applyBorder="1" applyAlignment="1" applyProtection="1">
      <alignment horizontal="center" vertical="center"/>
    </xf>
    <xf numFmtId="171" fontId="15" fillId="8" borderId="82" xfId="1" applyNumberFormat="1" applyFont="1" applyFill="1" applyBorder="1" applyAlignment="1" applyProtection="1">
      <alignment horizontal="center"/>
    </xf>
    <xf numFmtId="171" fontId="15" fillId="8" borderId="87" xfId="1" applyNumberFormat="1" applyFont="1" applyFill="1" applyBorder="1" applyAlignment="1" applyProtection="1">
      <alignment horizontal="center"/>
    </xf>
    <xf numFmtId="0" fontId="24" fillId="2" borderId="0" xfId="0" applyFont="1" applyFill="1" applyAlignment="1" applyProtection="1">
      <alignment horizontal="left" vertical="top" wrapText="1"/>
    </xf>
    <xf numFmtId="0" fontId="3" fillId="2" borderId="0" xfId="0" applyFont="1" applyFill="1" applyAlignment="1" applyProtection="1">
      <alignment horizontal="left"/>
    </xf>
    <xf numFmtId="0" fontId="8" fillId="2" borderId="0" xfId="0" applyFont="1" applyFill="1" applyAlignment="1" applyProtection="1"/>
    <xf numFmtId="0" fontId="3" fillId="2" borderId="0" xfId="0" applyFont="1" applyFill="1" applyAlignment="1"/>
    <xf numFmtId="0" fontId="25" fillId="2" borderId="88" xfId="0" applyFont="1" applyFill="1" applyBorder="1" applyAlignment="1" applyProtection="1">
      <alignment horizontal="center" wrapText="1"/>
    </xf>
    <xf numFmtId="0" fontId="15" fillId="2" borderId="89" xfId="0" applyFont="1" applyFill="1" applyBorder="1" applyAlignment="1" applyProtection="1">
      <alignment vertical="top" wrapText="1"/>
    </xf>
    <xf numFmtId="0" fontId="17" fillId="2" borderId="0" xfId="0" applyFont="1" applyFill="1" applyBorder="1" applyAlignment="1" applyProtection="1">
      <alignment horizontal="center" vertical="center"/>
    </xf>
    <xf numFmtId="0" fontId="18" fillId="2" borderId="0" xfId="0" applyFont="1" applyFill="1" applyAlignment="1" applyProtection="1"/>
    <xf numFmtId="0" fontId="19" fillId="3" borderId="36" xfId="0" applyFont="1" applyFill="1" applyBorder="1" applyAlignment="1" applyProtection="1">
      <alignment horizontal="center" vertical="center"/>
    </xf>
    <xf numFmtId="0" fontId="20" fillId="3" borderId="37" xfId="0" applyFont="1" applyFill="1" applyBorder="1" applyAlignment="1" applyProtection="1"/>
    <xf numFmtId="0" fontId="19" fillId="3" borderId="36" xfId="0" applyFont="1" applyFill="1" applyBorder="1" applyAlignment="1" applyProtection="1">
      <alignment horizontal="center" vertical="center" wrapText="1"/>
    </xf>
    <xf numFmtId="0" fontId="20" fillId="0" borderId="37" xfId="0" applyFont="1" applyBorder="1" applyAlignment="1" applyProtection="1">
      <alignment horizontal="center" vertical="center" wrapText="1"/>
    </xf>
    <xf numFmtId="0" fontId="19" fillId="3" borderId="37" xfId="0" applyFont="1" applyFill="1" applyBorder="1" applyAlignment="1" applyProtection="1">
      <alignment horizontal="center" vertical="center" wrapText="1"/>
    </xf>
    <xf numFmtId="0" fontId="19" fillId="3" borderId="37"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8" fillId="0" borderId="0" xfId="0" applyFont="1" applyAlignment="1" applyProtection="1">
      <alignment horizontal="center" vertical="center"/>
    </xf>
    <xf numFmtId="0" fontId="17" fillId="2" borderId="0" xfId="0" applyFont="1" applyFill="1" applyAlignment="1" applyProtection="1">
      <alignment horizontal="center" vertical="center" wrapText="1"/>
    </xf>
    <xf numFmtId="0" fontId="18" fillId="0" borderId="0" xfId="0" applyFont="1" applyAlignment="1" applyProtection="1">
      <alignment vertical="center"/>
    </xf>
    <xf numFmtId="0" fontId="14" fillId="2" borderId="0" xfId="0" applyFont="1" applyFill="1" applyAlignment="1" applyProtection="1">
      <alignment horizontal="center" vertical="center"/>
    </xf>
    <xf numFmtId="0" fontId="0" fillId="0" borderId="0" xfId="0" applyAlignment="1" applyProtection="1"/>
    <xf numFmtId="0" fontId="15" fillId="7" borderId="28" xfId="0" applyFont="1" applyFill="1" applyBorder="1" applyAlignment="1" applyProtection="1">
      <alignment horizontal="left" vertical="top" wrapText="1"/>
      <protection locked="0"/>
    </xf>
    <xf numFmtId="0" fontId="15" fillId="0" borderId="30" xfId="0" applyFont="1" applyBorder="1" applyAlignment="1" applyProtection="1">
      <alignment horizontal="left" vertical="top" wrapText="1"/>
      <protection locked="0"/>
    </xf>
    <xf numFmtId="0" fontId="15" fillId="0" borderId="31" xfId="0" applyFont="1" applyBorder="1" applyAlignment="1" applyProtection="1">
      <alignment horizontal="left" vertical="top" wrapText="1"/>
      <protection locked="0"/>
    </xf>
    <xf numFmtId="0" fontId="15" fillId="0" borderId="32" xfId="0" applyFont="1" applyBorder="1" applyAlignment="1" applyProtection="1">
      <alignment horizontal="left" vertical="top" wrapText="1"/>
      <protection locked="0"/>
    </xf>
    <xf numFmtId="0" fontId="15" fillId="0" borderId="33" xfId="0" applyFont="1" applyBorder="1" applyAlignment="1" applyProtection="1">
      <alignment horizontal="left" vertical="top" wrapText="1"/>
      <protection locked="0"/>
    </xf>
    <xf numFmtId="0" fontId="15" fillId="0" borderId="35" xfId="0" applyFont="1" applyBorder="1" applyAlignment="1" applyProtection="1">
      <alignment horizontal="left" vertical="top" wrapText="1"/>
      <protection locked="0"/>
    </xf>
    <xf numFmtId="0" fontId="15" fillId="2" borderId="28" xfId="0" applyNumberFormat="1" applyFont="1" applyFill="1" applyBorder="1" applyAlignment="1" applyProtection="1">
      <alignment horizontal="left" vertical="top" wrapText="1"/>
    </xf>
    <xf numFmtId="0" fontId="15" fillId="2" borderId="30" xfId="0" applyNumberFormat="1" applyFont="1" applyFill="1" applyBorder="1" applyAlignment="1" applyProtection="1">
      <alignment horizontal="left" vertical="top" wrapText="1"/>
    </xf>
    <xf numFmtId="0" fontId="15" fillId="2" borderId="31" xfId="0" applyNumberFormat="1" applyFont="1" applyFill="1" applyBorder="1" applyAlignment="1" applyProtection="1">
      <alignment horizontal="left" vertical="top" wrapText="1"/>
    </xf>
    <xf numFmtId="0" fontId="15" fillId="2" borderId="32" xfId="0" applyNumberFormat="1" applyFont="1" applyFill="1" applyBorder="1" applyAlignment="1" applyProtection="1">
      <alignment horizontal="left" vertical="top" wrapText="1"/>
    </xf>
    <xf numFmtId="0" fontId="0" fillId="0" borderId="31" xfId="0" applyBorder="1" applyAlignment="1" applyProtection="1"/>
    <xf numFmtId="0" fontId="0" fillId="0" borderId="32" xfId="0" applyBorder="1" applyAlignment="1" applyProtection="1"/>
    <xf numFmtId="0" fontId="0" fillId="0" borderId="33" xfId="0" applyBorder="1" applyAlignment="1" applyProtection="1"/>
    <xf numFmtId="0" fontId="0" fillId="0" borderId="35" xfId="0" applyBorder="1" applyAlignment="1" applyProtection="1"/>
    <xf numFmtId="0" fontId="24" fillId="2" borderId="31" xfId="0" applyFont="1" applyFill="1" applyBorder="1" applyAlignment="1" applyProtection="1">
      <alignment horizontal="left" vertical="top" wrapText="1"/>
    </xf>
    <xf numFmtId="0" fontId="24" fillId="2" borderId="0" xfId="0" applyFont="1" applyFill="1" applyBorder="1" applyAlignment="1" applyProtection="1">
      <alignment horizontal="left" vertical="top" wrapText="1"/>
    </xf>
    <xf numFmtId="0" fontId="21" fillId="2" borderId="29" xfId="0" applyFont="1" applyFill="1" applyBorder="1" applyAlignment="1" applyProtection="1">
      <alignment horizontal="left" vertical="top" wrapText="1"/>
    </xf>
    <xf numFmtId="0" fontId="21" fillId="2" borderId="0" xfId="0" applyFont="1" applyFill="1" applyAlignment="1" applyProtection="1">
      <alignment horizontal="left" vertical="top" wrapText="1"/>
    </xf>
    <xf numFmtId="0" fontId="13" fillId="3" borderId="1"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18" xfId="0" applyFont="1"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0" fillId="4" borderId="63" xfId="0" applyFill="1" applyBorder="1" applyAlignment="1" applyProtection="1">
      <alignment horizontal="center" vertical="center"/>
      <protection locked="0"/>
    </xf>
    <xf numFmtId="0" fontId="0" fillId="4" borderId="71" xfId="0" applyFill="1" applyBorder="1" applyAlignment="1" applyProtection="1">
      <alignment horizontal="center" vertical="center"/>
      <protection locked="0"/>
    </xf>
    <xf numFmtId="0" fontId="0" fillId="4" borderId="72" xfId="0" applyFill="1" applyBorder="1" applyAlignment="1" applyProtection="1">
      <alignment horizontal="center" vertical="center"/>
      <protection locked="0"/>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28" xfId="0" applyFont="1" applyFill="1" applyBorder="1" applyAlignment="1" applyProtection="1">
      <alignment horizontal="center"/>
    </xf>
    <xf numFmtId="0" fontId="5" fillId="3" borderId="30" xfId="0" applyFont="1" applyFill="1" applyBorder="1" applyAlignment="1" applyProtection="1">
      <alignment horizontal="center"/>
    </xf>
    <xf numFmtId="0" fontId="5" fillId="3" borderId="33" xfId="0" applyFont="1" applyFill="1" applyBorder="1" applyAlignment="1" applyProtection="1">
      <alignment horizontal="center"/>
    </xf>
    <xf numFmtId="0" fontId="5" fillId="3" borderId="35" xfId="0" applyFont="1" applyFill="1" applyBorder="1" applyAlignment="1" applyProtection="1">
      <alignment horizontal="center"/>
    </xf>
    <xf numFmtId="0" fontId="8" fillId="4" borderId="36" xfId="0" applyFont="1" applyFill="1" applyBorder="1" applyAlignment="1" applyProtection="1">
      <alignment horizontal="center" vertical="center" wrapText="1"/>
    </xf>
    <xf numFmtId="0" fontId="8" fillId="4" borderId="37" xfId="0" applyFont="1" applyFill="1" applyBorder="1" applyAlignment="1" applyProtection="1">
      <alignment horizontal="center" vertical="center" wrapText="1"/>
    </xf>
    <xf numFmtId="0" fontId="9" fillId="2" borderId="0" xfId="0" applyFont="1" applyFill="1" applyAlignment="1" applyProtection="1">
      <alignment horizontal="left" wrapText="1"/>
    </xf>
    <xf numFmtId="0" fontId="3" fillId="2" borderId="36" xfId="0" applyFont="1" applyFill="1" applyBorder="1" applyAlignment="1" applyProtection="1">
      <alignment vertical="top" wrapText="1"/>
      <protection locked="0"/>
    </xf>
    <xf numFmtId="0" fontId="0" fillId="0" borderId="47" xfId="0" applyBorder="1" applyAlignment="1" applyProtection="1">
      <alignment vertical="top" wrapText="1"/>
      <protection locked="0"/>
    </xf>
    <xf numFmtId="0" fontId="0" fillId="0" borderId="47" xfId="0" applyBorder="1" applyAlignment="1" applyProtection="1">
      <protection locked="0"/>
    </xf>
    <xf numFmtId="0" fontId="0" fillId="0" borderId="37" xfId="0" applyBorder="1" applyAlignment="1" applyProtection="1">
      <protection locked="0"/>
    </xf>
    <xf numFmtId="0" fontId="3" fillId="2" borderId="36" xfId="0" applyFont="1" applyFill="1" applyBorder="1" applyAlignment="1" applyProtection="1">
      <alignment wrapText="1"/>
      <protection locked="0"/>
    </xf>
    <xf numFmtId="0" fontId="0" fillId="0" borderId="47" xfId="0" applyBorder="1" applyAlignment="1" applyProtection="1">
      <alignment wrapText="1"/>
      <protection locked="0"/>
    </xf>
    <xf numFmtId="0" fontId="4" fillId="5" borderId="0" xfId="0" applyFont="1" applyFill="1" applyAlignment="1" applyProtection="1">
      <alignment horizontal="center" vertical="center"/>
    </xf>
    <xf numFmtId="0" fontId="6" fillId="2" borderId="28"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6" fillId="2" borderId="31"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6" fillId="2" borderId="33"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7" fillId="2" borderId="28" xfId="0" applyFont="1" applyFill="1" applyBorder="1" applyAlignment="1" applyProtection="1">
      <alignment horizontal="left" vertical="top"/>
    </xf>
    <xf numFmtId="0" fontId="7" fillId="2" borderId="29" xfId="0" applyFont="1" applyFill="1" applyBorder="1" applyAlignment="1" applyProtection="1">
      <alignment horizontal="left" vertical="top"/>
    </xf>
    <xf numFmtId="0" fontId="7" fillId="2" borderId="30" xfId="0" applyFont="1" applyFill="1" applyBorder="1" applyAlignment="1" applyProtection="1">
      <alignment horizontal="left" vertical="top"/>
    </xf>
    <xf numFmtId="0" fontId="7" fillId="2" borderId="31"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7" fillId="2" borderId="32" xfId="0" applyFont="1" applyFill="1" applyBorder="1" applyAlignment="1" applyProtection="1">
      <alignment horizontal="left" vertical="top"/>
    </xf>
    <xf numFmtId="0" fontId="7" fillId="2" borderId="33" xfId="0" applyFont="1" applyFill="1" applyBorder="1" applyAlignment="1" applyProtection="1">
      <alignment horizontal="left" vertical="top"/>
    </xf>
    <xf numFmtId="0" fontId="7" fillId="2" borderId="34" xfId="0" applyFont="1" applyFill="1" applyBorder="1" applyAlignment="1" applyProtection="1">
      <alignment horizontal="left" vertical="top"/>
    </xf>
    <xf numFmtId="0" fontId="7" fillId="2" borderId="35" xfId="0" applyFont="1" applyFill="1" applyBorder="1" applyAlignment="1" applyProtection="1">
      <alignment horizontal="left" vertical="top"/>
    </xf>
    <xf numFmtId="0" fontId="3" fillId="2" borderId="28" xfId="0" applyFont="1" applyFill="1" applyBorder="1" applyAlignment="1" applyProtection="1">
      <alignment horizontal="left" vertical="top"/>
      <protection locked="0"/>
    </xf>
    <xf numFmtId="0" fontId="3" fillId="2" borderId="29" xfId="0" applyFont="1" applyFill="1" applyBorder="1" applyAlignment="1" applyProtection="1">
      <alignment horizontal="left" vertical="top"/>
      <protection locked="0"/>
    </xf>
    <xf numFmtId="0" fontId="3" fillId="2" borderId="30" xfId="0" applyFont="1" applyFill="1" applyBorder="1" applyAlignment="1" applyProtection="1">
      <alignment horizontal="left" vertical="top"/>
      <protection locked="0"/>
    </xf>
    <xf numFmtId="0" fontId="3" fillId="2" borderId="31"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protection locked="0"/>
    </xf>
    <xf numFmtId="0" fontId="3" fillId="2" borderId="32" xfId="0" applyFont="1" applyFill="1" applyBorder="1" applyAlignment="1" applyProtection="1">
      <alignment horizontal="left" vertical="top"/>
      <protection locked="0"/>
    </xf>
    <xf numFmtId="0" fontId="3" fillId="2" borderId="33" xfId="0" applyFont="1" applyFill="1" applyBorder="1" applyAlignment="1" applyProtection="1">
      <alignment horizontal="left" vertical="top"/>
      <protection locked="0"/>
    </xf>
    <xf numFmtId="0" fontId="3" fillId="2" borderId="34" xfId="0" applyFont="1" applyFill="1" applyBorder="1" applyAlignment="1" applyProtection="1">
      <alignment horizontal="left" vertical="top"/>
      <protection locked="0"/>
    </xf>
    <xf numFmtId="0" fontId="3" fillId="2" borderId="35" xfId="0" applyFont="1" applyFill="1" applyBorder="1" applyAlignment="1" applyProtection="1">
      <alignment horizontal="left" vertical="top"/>
      <protection locked="0"/>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8" xfId="0" applyFont="1" applyFill="1" applyBorder="1" applyAlignment="1">
      <alignment horizontal="center" vertical="center"/>
    </xf>
  </cellXfs>
  <cellStyles count="3">
    <cellStyle name="Komma" xfId="1" builtinId="3"/>
    <cellStyle name="Procent" xfId="2" builtinId="5"/>
    <cellStyle name="Standaard" xfId="0" builtinId="0"/>
  </cellStyles>
  <dxfs count="2">
    <dxf>
      <font>
        <b val="0"/>
        <i val="0"/>
        <color indexed="10"/>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38100</xdr:rowOff>
    </xdr:from>
    <xdr:to>
      <xdr:col>1</xdr:col>
      <xdr:colOff>962025</xdr:colOff>
      <xdr:row>1</xdr:row>
      <xdr:rowOff>962025</xdr:rowOff>
    </xdr:to>
    <xdr:pic>
      <xdr:nvPicPr>
        <xdr:cNvPr id="1027" name="Picture 3" descr="ES Cert Mark Cyan.jpg"/>
        <xdr:cNvPicPr>
          <a:picLocks noChangeAspect="1"/>
        </xdr:cNvPicPr>
      </xdr:nvPicPr>
      <xdr:blipFill>
        <a:blip xmlns:r="http://schemas.openxmlformats.org/officeDocument/2006/relationships" r:embed="rId1" cstate="print">
          <a:lum/>
        </a:blip>
        <a:stretch>
          <a:fillRect/>
        </a:stretch>
      </xdr:blipFill>
      <xdr:spPr>
        <a:xfrm>
          <a:off x="257175" y="152400"/>
          <a:ext cx="904875" cy="923925"/>
        </a:xfrm>
        <a:prstGeom prst="rect">
          <a:avLst/>
        </a:prstGeom>
        <a:noFill/>
        <a:ln w="9525">
          <a:noFill/>
          <a:miter/>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28575</xdr:rowOff>
    </xdr:from>
    <xdr:to>
      <xdr:col>2</xdr:col>
      <xdr:colOff>695325</xdr:colOff>
      <xdr:row>4</xdr:row>
      <xdr:rowOff>295275</xdr:rowOff>
    </xdr:to>
    <xdr:pic>
      <xdr:nvPicPr>
        <xdr:cNvPr id="2051" name="Picture 3" descr="ES Cert Mark Cyan.jpg"/>
        <xdr:cNvPicPr>
          <a:picLocks noChangeAspect="1"/>
        </xdr:cNvPicPr>
      </xdr:nvPicPr>
      <xdr:blipFill>
        <a:blip xmlns:r="http://schemas.openxmlformats.org/officeDocument/2006/relationships" r:embed="rId1" cstate="print">
          <a:lum/>
        </a:blip>
        <a:stretch>
          <a:fillRect/>
        </a:stretch>
      </xdr:blipFill>
      <xdr:spPr>
        <a:xfrm>
          <a:off x="190500" y="152400"/>
          <a:ext cx="771525" cy="809625"/>
        </a:xfrm>
        <a:prstGeom prst="rect">
          <a:avLst/>
        </a:prstGeom>
        <a:noFill/>
        <a:ln w="9525">
          <a:noFill/>
          <a:miter/>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1</xdr:row>
      <xdr:rowOff>38100</xdr:rowOff>
    </xdr:from>
    <xdr:to>
      <xdr:col>2</xdr:col>
      <xdr:colOff>600075</xdr:colOff>
      <xdr:row>4</xdr:row>
      <xdr:rowOff>133350</xdr:rowOff>
    </xdr:to>
    <xdr:pic>
      <xdr:nvPicPr>
        <xdr:cNvPr id="5122" name="Picture 2" descr="ES Cert Mark Cyan.jpg"/>
        <xdr:cNvPicPr>
          <a:picLocks noChangeAspect="1"/>
        </xdr:cNvPicPr>
      </xdr:nvPicPr>
      <xdr:blipFill>
        <a:blip xmlns:r="http://schemas.openxmlformats.org/officeDocument/2006/relationships" r:embed="rId1" cstate="print">
          <a:lum/>
        </a:blip>
        <a:stretch>
          <a:fillRect/>
        </a:stretch>
      </xdr:blipFill>
      <xdr:spPr>
        <a:xfrm>
          <a:off x="285750" y="180975"/>
          <a:ext cx="666750" cy="666750"/>
        </a:xfrm>
        <a:prstGeom prst="rect">
          <a:avLst/>
        </a:prstGeom>
        <a:noFill/>
        <a:ln w="9525">
          <a:noFill/>
          <a:miter/>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B3" sqref="B3"/>
    </sheetView>
  </sheetViews>
  <sheetFormatPr defaultColWidth="9.125" defaultRowHeight="14.25"/>
  <cols>
    <col min="1" max="1" width="2.625" style="212" customWidth="1"/>
    <col min="2" max="2" width="92.875" style="212" customWidth="1"/>
    <col min="3" max="16384" width="9.125" style="212"/>
  </cols>
  <sheetData>
    <row r="1" spans="1:7" ht="9" customHeight="1">
      <c r="A1" s="48"/>
      <c r="B1" s="48"/>
      <c r="C1" s="48"/>
      <c r="D1" s="48"/>
      <c r="E1" s="48"/>
      <c r="F1" s="48"/>
      <c r="G1" s="48"/>
    </row>
    <row r="2" spans="1:7" ht="89.25" customHeight="1">
      <c r="A2" s="48"/>
      <c r="B2" s="213" t="s">
        <v>0</v>
      </c>
      <c r="C2" s="48"/>
      <c r="D2" s="48"/>
      <c r="E2" s="48"/>
      <c r="F2" s="48"/>
      <c r="G2" s="48"/>
    </row>
    <row r="3" spans="1:7" ht="243.75" customHeight="1">
      <c r="A3" s="48"/>
      <c r="B3" s="214" t="s">
        <v>1</v>
      </c>
      <c r="C3" s="48"/>
      <c r="D3" s="48"/>
      <c r="E3" s="48"/>
      <c r="F3" s="48"/>
      <c r="G3" s="48"/>
    </row>
    <row r="4" spans="1:7">
      <c r="A4" s="48"/>
      <c r="B4" s="72"/>
      <c r="C4" s="48"/>
      <c r="D4" s="48"/>
      <c r="E4" s="48"/>
      <c r="F4" s="48"/>
      <c r="G4" s="48"/>
    </row>
    <row r="5" spans="1:7">
      <c r="A5" s="48"/>
      <c r="B5" s="48"/>
      <c r="C5" s="48"/>
      <c r="D5" s="48"/>
      <c r="E5" s="48"/>
      <c r="F5" s="48"/>
      <c r="G5" s="48"/>
    </row>
    <row r="6" spans="1:7">
      <c r="A6" s="48"/>
      <c r="B6" s="48"/>
      <c r="C6" s="48"/>
      <c r="D6" s="48"/>
      <c r="E6" s="48"/>
      <c r="F6" s="48"/>
      <c r="G6" s="48"/>
    </row>
    <row r="7" spans="1:7">
      <c r="A7" s="48"/>
      <c r="B7" s="48"/>
      <c r="C7" s="48"/>
      <c r="D7" s="48"/>
      <c r="E7" s="48"/>
      <c r="F7" s="48"/>
      <c r="G7" s="48"/>
    </row>
    <row r="8" spans="1:7">
      <c r="A8" s="48"/>
      <c r="B8" s="48"/>
      <c r="C8" s="48"/>
      <c r="D8" s="48"/>
      <c r="E8" s="48"/>
      <c r="F8" s="48"/>
      <c r="G8" s="48"/>
    </row>
    <row r="9" spans="1:7">
      <c r="A9" s="48"/>
      <c r="B9" s="48"/>
      <c r="C9" s="48"/>
      <c r="D9" s="48"/>
      <c r="E9" s="48"/>
      <c r="F9" s="48"/>
      <c r="G9" s="48"/>
    </row>
    <row r="10" spans="1:7">
      <c r="A10" s="48"/>
      <c r="B10" s="48"/>
      <c r="C10" s="48"/>
      <c r="D10" s="48"/>
      <c r="E10" s="48"/>
      <c r="F10" s="48"/>
      <c r="G10" s="48"/>
    </row>
    <row r="11" spans="1:7">
      <c r="A11" s="48"/>
      <c r="B11" s="48"/>
      <c r="C11" s="48"/>
      <c r="D11" s="48"/>
      <c r="E11" s="48"/>
      <c r="F11" s="48"/>
      <c r="G11" s="48"/>
    </row>
    <row r="12" spans="1:7">
      <c r="A12" s="48"/>
      <c r="B12" s="48"/>
      <c r="C12" s="48"/>
      <c r="D12" s="48"/>
      <c r="E12" s="48"/>
      <c r="F12" s="48"/>
      <c r="G12" s="48"/>
    </row>
    <row r="13" spans="1:7">
      <c r="A13" s="48"/>
      <c r="B13" s="48"/>
      <c r="C13" s="48"/>
      <c r="D13" s="48"/>
      <c r="E13" s="48"/>
      <c r="F13" s="48"/>
      <c r="G13" s="48"/>
    </row>
  </sheetData>
  <sheetProtection password="C696" sheet="1" objects="1" scenarios="1"/>
  <pageMargins left="0.69930555555555596" right="0.69930555555555596" top="0.75" bottom="0.75" header="0.3" footer="0.3"/>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
  <sheetViews>
    <sheetView tabSelected="1" view="pageBreakPreview" zoomScale="60" zoomScaleNormal="60" workbookViewId="0">
      <selection activeCell="B2" sqref="B2:S5"/>
    </sheetView>
  </sheetViews>
  <sheetFormatPr defaultColWidth="9.125" defaultRowHeight="14.25"/>
  <cols>
    <col min="1" max="1" width="1.875" style="48" customWidth="1"/>
    <col min="2" max="2" width="1.625" style="48" customWidth="1"/>
    <col min="3" max="3" width="16.625" style="48" customWidth="1"/>
    <col min="4" max="4" width="28.125" style="48" customWidth="1"/>
    <col min="5" max="6" width="1.875" style="48" customWidth="1"/>
    <col min="7" max="7" width="2.625" style="48" customWidth="1"/>
    <col min="8" max="8" width="59.625" style="48" customWidth="1"/>
    <col min="9" max="9" width="19.125" style="48" customWidth="1"/>
    <col min="10" max="10" width="2.25" style="48" customWidth="1"/>
    <col min="11" max="11" width="13.625" style="155" customWidth="1"/>
    <col min="12" max="12" width="27.25" style="155" customWidth="1"/>
    <col min="13" max="13" width="1.25" style="155" customWidth="1"/>
    <col min="14" max="14" width="13.25" style="155" customWidth="1"/>
    <col min="15" max="15" width="26.125" style="155" customWidth="1"/>
    <col min="16" max="16" width="1.25" style="155" customWidth="1"/>
    <col min="17" max="17" width="13.375" style="155" customWidth="1"/>
    <col min="18" max="18" width="27.25" style="155" customWidth="1"/>
    <col min="19" max="19" width="2.125" style="48" customWidth="1"/>
    <col min="20" max="20" width="1.875" style="48" customWidth="1"/>
    <col min="21" max="16384" width="9.125" style="48"/>
  </cols>
  <sheetData>
    <row r="1" spans="1:33" ht="9.75" customHeight="1">
      <c r="A1" s="47"/>
      <c r="B1" s="47"/>
      <c r="C1" s="47"/>
      <c r="D1" s="47"/>
      <c r="E1" s="47"/>
      <c r="F1" s="47"/>
      <c r="G1" s="47"/>
      <c r="H1" s="47"/>
      <c r="I1" s="47"/>
      <c r="J1" s="47"/>
      <c r="K1" s="182"/>
      <c r="L1" s="182"/>
      <c r="M1" s="182"/>
      <c r="N1" s="182"/>
      <c r="O1" s="182"/>
      <c r="P1" s="182"/>
      <c r="Q1" s="182"/>
      <c r="R1" s="182"/>
      <c r="S1" s="47"/>
      <c r="T1" s="47"/>
    </row>
    <row r="2" spans="1:33" ht="14.25" customHeight="1">
      <c r="A2" s="47"/>
      <c r="B2" s="227" t="s">
        <v>2</v>
      </c>
      <c r="C2" s="228"/>
      <c r="D2" s="228"/>
      <c r="E2" s="228"/>
      <c r="F2" s="228"/>
      <c r="G2" s="228"/>
      <c r="H2" s="228"/>
      <c r="I2" s="228"/>
      <c r="J2" s="228"/>
      <c r="K2" s="228"/>
      <c r="L2" s="228"/>
      <c r="M2" s="228"/>
      <c r="N2" s="228"/>
      <c r="O2" s="228"/>
      <c r="P2" s="228"/>
      <c r="Q2" s="228"/>
      <c r="R2" s="228"/>
      <c r="S2" s="228"/>
      <c r="T2" s="47"/>
    </row>
    <row r="3" spans="1:33" ht="14.25" customHeight="1">
      <c r="A3" s="47"/>
      <c r="B3" s="228"/>
      <c r="C3" s="228"/>
      <c r="D3" s="228"/>
      <c r="E3" s="228"/>
      <c r="F3" s="228"/>
      <c r="G3" s="228"/>
      <c r="H3" s="228"/>
      <c r="I3" s="228"/>
      <c r="J3" s="228"/>
      <c r="K3" s="228"/>
      <c r="L3" s="228"/>
      <c r="M3" s="228"/>
      <c r="N3" s="228"/>
      <c r="O3" s="228"/>
      <c r="P3" s="228"/>
      <c r="Q3" s="228"/>
      <c r="R3" s="228"/>
      <c r="S3" s="228"/>
      <c r="T3" s="47"/>
    </row>
    <row r="4" spans="1:33" ht="14.25" customHeight="1">
      <c r="A4" s="47"/>
      <c r="B4" s="228"/>
      <c r="C4" s="228"/>
      <c r="D4" s="228"/>
      <c r="E4" s="228"/>
      <c r="F4" s="228"/>
      <c r="G4" s="228"/>
      <c r="H4" s="228"/>
      <c r="I4" s="228"/>
      <c r="J4" s="228"/>
      <c r="K4" s="228"/>
      <c r="L4" s="228"/>
      <c r="M4" s="228"/>
      <c r="N4" s="228"/>
      <c r="O4" s="228"/>
      <c r="P4" s="228"/>
      <c r="Q4" s="228"/>
      <c r="R4" s="228"/>
      <c r="S4" s="228"/>
      <c r="T4" s="47"/>
    </row>
    <row r="5" spans="1:33" ht="24.75" customHeight="1">
      <c r="A5" s="47"/>
      <c r="B5" s="228"/>
      <c r="C5" s="228"/>
      <c r="D5" s="228"/>
      <c r="E5" s="228"/>
      <c r="F5" s="228"/>
      <c r="G5" s="228"/>
      <c r="H5" s="228"/>
      <c r="I5" s="228"/>
      <c r="J5" s="228"/>
      <c r="K5" s="228"/>
      <c r="L5" s="228"/>
      <c r="M5" s="228"/>
      <c r="N5" s="228"/>
      <c r="O5" s="228"/>
      <c r="P5" s="228"/>
      <c r="Q5" s="228"/>
      <c r="R5" s="228"/>
      <c r="S5" s="228"/>
      <c r="T5" s="47"/>
    </row>
    <row r="6" spans="1:33" ht="9" customHeight="1">
      <c r="A6" s="47"/>
      <c r="B6" s="156"/>
      <c r="C6" s="156"/>
      <c r="D6" s="156"/>
      <c r="E6" s="156"/>
      <c r="F6" s="156"/>
      <c r="G6" s="156"/>
      <c r="H6" s="156"/>
      <c r="I6" s="156"/>
      <c r="J6" s="156"/>
      <c r="K6" s="183"/>
      <c r="L6" s="183"/>
      <c r="M6" s="183"/>
      <c r="N6" s="184"/>
      <c r="O6" s="183"/>
      <c r="P6" s="183"/>
      <c r="Q6" s="183"/>
      <c r="R6" s="183"/>
      <c r="S6" s="47"/>
      <c r="T6" s="47"/>
    </row>
    <row r="7" spans="1:33" ht="34.5" customHeight="1">
      <c r="A7" s="47"/>
      <c r="B7" s="157"/>
      <c r="C7" s="158"/>
      <c r="D7" s="159"/>
      <c r="E7" s="159"/>
      <c r="F7" s="160"/>
      <c r="G7" s="215" t="s">
        <v>3</v>
      </c>
      <c r="H7" s="216"/>
      <c r="I7" s="216"/>
      <c r="J7" s="216"/>
      <c r="K7" s="216"/>
      <c r="L7" s="216"/>
      <c r="M7" s="216"/>
      <c r="N7" s="216"/>
      <c r="O7" s="216"/>
      <c r="P7" s="216"/>
      <c r="Q7" s="216"/>
      <c r="R7" s="216"/>
      <c r="S7" s="216"/>
      <c r="T7" s="47"/>
    </row>
    <row r="8" spans="1:33" s="154" customFormat="1" ht="39" customHeight="1">
      <c r="A8" s="161"/>
      <c r="B8" s="162"/>
      <c r="C8" s="217" t="s">
        <v>4</v>
      </c>
      <c r="D8" s="218"/>
      <c r="E8" s="163"/>
      <c r="F8" s="164"/>
      <c r="G8" s="162"/>
      <c r="H8" s="219" t="s">
        <v>5</v>
      </c>
      <c r="I8" s="220"/>
      <c r="J8" s="162"/>
      <c r="K8" s="219" t="str">
        <f>IF(I21="","Tested Case Temperature 1",CONCATENATE("Test Data for ",I21,"⁰C Case Temperature"))</f>
        <v>Test Data for 55⁰C Case Temperature</v>
      </c>
      <c r="L8" s="221"/>
      <c r="M8" s="162"/>
      <c r="N8" s="219" t="str">
        <f>IF(I22="","Tested Case Temperature 2",CONCATENATE("Test Data for ",I22,"⁰C Case Temperature"))</f>
        <v>Test Data for 85⁰C Case Temperature</v>
      </c>
      <c r="O8" s="221"/>
      <c r="P8" s="162"/>
      <c r="Q8" s="219" t="str">
        <f>IF(I23="","Tested Case Temperature 3",CONCATENATE("Test Data for ",I23,"⁰C Case Temperature"))</f>
        <v>Test Data for 105⁰C Case Temperature</v>
      </c>
      <c r="R8" s="221"/>
      <c r="T8" s="161"/>
    </row>
    <row r="9" spans="1:33" ht="48" customHeight="1">
      <c r="A9" s="47"/>
      <c r="B9" s="165"/>
      <c r="C9" s="235" t="s">
        <v>6</v>
      </c>
      <c r="D9" s="236"/>
      <c r="E9" s="166"/>
      <c r="F9" s="167"/>
      <c r="G9" s="165"/>
      <c r="H9" s="229"/>
      <c r="I9" s="230"/>
      <c r="J9" s="165"/>
      <c r="K9" s="185" t="s">
        <v>7</v>
      </c>
      <c r="L9" s="185" t="s">
        <v>8</v>
      </c>
      <c r="M9" s="186"/>
      <c r="N9" s="185" t="s">
        <v>7</v>
      </c>
      <c r="O9" s="185" t="s">
        <v>8</v>
      </c>
      <c r="P9" s="186"/>
      <c r="Q9" s="185" t="s">
        <v>7</v>
      </c>
      <c r="R9" s="185" t="s">
        <v>8</v>
      </c>
      <c r="T9" s="47"/>
      <c r="AG9" s="211"/>
    </row>
    <row r="10" spans="1:33" ht="15" customHeight="1">
      <c r="A10" s="47"/>
      <c r="B10" s="165"/>
      <c r="C10" s="237"/>
      <c r="D10" s="238"/>
      <c r="E10" s="166"/>
      <c r="F10" s="167"/>
      <c r="G10" s="165"/>
      <c r="H10" s="231"/>
      <c r="I10" s="232"/>
      <c r="J10" s="165"/>
      <c r="K10" s="187">
        <v>1000</v>
      </c>
      <c r="L10" s="188">
        <v>0.99760000000000004</v>
      </c>
      <c r="M10" s="162"/>
      <c r="N10" s="187">
        <v>1000</v>
      </c>
      <c r="O10" s="188">
        <v>0.99590000000000001</v>
      </c>
      <c r="P10" s="162"/>
      <c r="Q10" s="187">
        <v>1000</v>
      </c>
      <c r="R10" s="193">
        <v>0.99450000000000005</v>
      </c>
      <c r="T10" s="47"/>
      <c r="AG10" s="211"/>
    </row>
    <row r="11" spans="1:33" ht="18" customHeight="1">
      <c r="A11" s="47"/>
      <c r="B11" s="165"/>
      <c r="C11" s="237"/>
      <c r="D11" s="238"/>
      <c r="E11" s="166"/>
      <c r="F11" s="167"/>
      <c r="G11" s="165"/>
      <c r="H11" s="231"/>
      <c r="I11" s="232"/>
      <c r="J11" s="165"/>
      <c r="K11" s="189">
        <v>2000</v>
      </c>
      <c r="L11" s="190">
        <v>0.99629999999999996</v>
      </c>
      <c r="M11" s="162"/>
      <c r="N11" s="189">
        <v>2000</v>
      </c>
      <c r="O11" s="190">
        <v>0.99360000000000004</v>
      </c>
      <c r="P11" s="162"/>
      <c r="Q11" s="189">
        <v>2000</v>
      </c>
      <c r="R11" s="194">
        <v>0.9919</v>
      </c>
      <c r="T11" s="47"/>
      <c r="AG11" s="211"/>
    </row>
    <row r="12" spans="1:33" ht="18.75" customHeight="1">
      <c r="A12" s="47"/>
      <c r="B12" s="165"/>
      <c r="C12" s="237"/>
      <c r="D12" s="238"/>
      <c r="E12" s="166"/>
      <c r="F12" s="167"/>
      <c r="G12" s="165"/>
      <c r="H12" s="233"/>
      <c r="I12" s="234"/>
      <c r="J12" s="165"/>
      <c r="K12" s="189">
        <v>3000</v>
      </c>
      <c r="L12" s="190">
        <v>0.99480000000000002</v>
      </c>
      <c r="M12" s="162"/>
      <c r="N12" s="189">
        <v>3000</v>
      </c>
      <c r="O12" s="190">
        <v>0.99119999999999997</v>
      </c>
      <c r="P12" s="162"/>
      <c r="Q12" s="189">
        <v>3000</v>
      </c>
      <c r="R12" s="194">
        <v>0.98919999999999997</v>
      </c>
      <c r="T12" s="47"/>
      <c r="AG12" s="211"/>
    </row>
    <row r="13" spans="1:33" ht="18" customHeight="1">
      <c r="A13" s="47"/>
      <c r="B13" s="165"/>
      <c r="C13" s="237"/>
      <c r="D13" s="238"/>
      <c r="E13" s="166"/>
      <c r="F13" s="167"/>
      <c r="G13" s="165"/>
      <c r="H13" s="165"/>
      <c r="I13" s="165"/>
      <c r="J13" s="165"/>
      <c r="K13" s="189">
        <v>4000</v>
      </c>
      <c r="L13" s="190">
        <v>0.99319999999999997</v>
      </c>
      <c r="M13" s="162"/>
      <c r="N13" s="189">
        <v>4000</v>
      </c>
      <c r="O13" s="190">
        <v>0.98880000000000001</v>
      </c>
      <c r="P13" s="162"/>
      <c r="Q13" s="189">
        <v>4000</v>
      </c>
      <c r="R13" s="194">
        <v>0.98650000000000004</v>
      </c>
      <c r="T13" s="47"/>
      <c r="AG13" s="211"/>
    </row>
    <row r="14" spans="1:33" ht="18.75" customHeight="1">
      <c r="A14" s="47"/>
      <c r="B14" s="165"/>
      <c r="C14" s="237"/>
      <c r="D14" s="238"/>
      <c r="E14" s="166"/>
      <c r="F14" s="167"/>
      <c r="G14" s="165"/>
      <c r="H14" s="165"/>
      <c r="I14" s="165"/>
      <c r="J14" s="165"/>
      <c r="K14" s="189">
        <v>5000</v>
      </c>
      <c r="L14" s="190">
        <v>0.99160000000000004</v>
      </c>
      <c r="M14" s="162"/>
      <c r="N14" s="189">
        <v>5000</v>
      </c>
      <c r="O14" s="190">
        <v>0.98629999999999995</v>
      </c>
      <c r="P14" s="162"/>
      <c r="Q14" s="189">
        <v>5000</v>
      </c>
      <c r="R14" s="194">
        <v>0.98360000000000003</v>
      </c>
      <c r="T14" s="47"/>
      <c r="AG14" s="211"/>
    </row>
    <row r="15" spans="1:33" ht="18.75" customHeight="1">
      <c r="A15" s="47"/>
      <c r="B15" s="165"/>
      <c r="C15" s="237"/>
      <c r="D15" s="238"/>
      <c r="E15" s="166"/>
      <c r="F15" s="167"/>
      <c r="G15" s="165"/>
      <c r="H15" s="217" t="s">
        <v>9</v>
      </c>
      <c r="I15" s="222"/>
      <c r="J15" s="165"/>
      <c r="K15" s="189">
        <v>6000</v>
      </c>
      <c r="L15" s="190">
        <v>0.9899</v>
      </c>
      <c r="M15" s="162"/>
      <c r="N15" s="189">
        <v>6000</v>
      </c>
      <c r="O15" s="190">
        <v>0.98380000000000001</v>
      </c>
      <c r="P15" s="162"/>
      <c r="Q15" s="189">
        <v>6000</v>
      </c>
      <c r="R15" s="194">
        <v>0.98040000000000005</v>
      </c>
      <c r="T15" s="47"/>
      <c r="AG15" s="211"/>
    </row>
    <row r="16" spans="1:33" ht="19.5" customHeight="1">
      <c r="A16" s="47"/>
      <c r="B16" s="165"/>
      <c r="C16" s="237"/>
      <c r="D16" s="238"/>
      <c r="E16" s="166"/>
      <c r="F16" s="167"/>
      <c r="G16" s="165"/>
      <c r="H16" s="168" t="s">
        <v>10</v>
      </c>
      <c r="I16" s="187">
        <v>20</v>
      </c>
      <c r="J16" s="165"/>
      <c r="K16" s="189">
        <v>7000</v>
      </c>
      <c r="L16" s="190">
        <v>0.98809999999999998</v>
      </c>
      <c r="M16" s="162"/>
      <c r="N16" s="189">
        <v>7000</v>
      </c>
      <c r="O16" s="190">
        <v>0.98119999999999996</v>
      </c>
      <c r="P16" s="162"/>
      <c r="Q16" s="189">
        <v>7000</v>
      </c>
      <c r="R16" s="194">
        <v>0.97719999999999996</v>
      </c>
      <c r="T16" s="47"/>
      <c r="AG16" s="211"/>
    </row>
    <row r="17" spans="1:33" ht="19.5" customHeight="1">
      <c r="A17" s="47"/>
      <c r="B17" s="165"/>
      <c r="C17" s="237"/>
      <c r="D17" s="238"/>
      <c r="E17" s="166"/>
      <c r="F17" s="167"/>
      <c r="G17" s="165"/>
      <c r="H17" s="169" t="s">
        <v>11</v>
      </c>
      <c r="I17" s="189">
        <v>0</v>
      </c>
      <c r="J17" s="165"/>
      <c r="K17" s="189">
        <v>8000</v>
      </c>
      <c r="L17" s="190">
        <v>0.98599999999999999</v>
      </c>
      <c r="M17" s="162"/>
      <c r="N17" s="189">
        <v>8000</v>
      </c>
      <c r="O17" s="190">
        <v>0.97850000000000004</v>
      </c>
      <c r="P17" s="162"/>
      <c r="Q17" s="189">
        <v>8000</v>
      </c>
      <c r="R17" s="194">
        <v>0.97389999999999999</v>
      </c>
      <c r="T17" s="47"/>
      <c r="AG17" s="211"/>
    </row>
    <row r="18" spans="1:33" ht="19.5" customHeight="1">
      <c r="A18" s="47"/>
      <c r="B18" s="165"/>
      <c r="C18" s="237"/>
      <c r="D18" s="238"/>
      <c r="E18" s="166"/>
      <c r="F18" s="167"/>
      <c r="G18" s="165"/>
      <c r="H18" s="169" t="s">
        <v>12</v>
      </c>
      <c r="I18" s="191">
        <f>IF(I16="","",I16-I17)</f>
        <v>20</v>
      </c>
      <c r="J18" s="165"/>
      <c r="K18" s="189">
        <v>9000</v>
      </c>
      <c r="L18" s="190">
        <v>0.98380000000000001</v>
      </c>
      <c r="M18" s="162"/>
      <c r="N18" s="189">
        <v>9000</v>
      </c>
      <c r="O18" s="190">
        <v>0.9758</v>
      </c>
      <c r="P18" s="162"/>
      <c r="Q18" s="189">
        <v>9000</v>
      </c>
      <c r="R18" s="194">
        <v>0.97040000000000004</v>
      </c>
      <c r="T18" s="47"/>
      <c r="AG18" s="211"/>
    </row>
    <row r="19" spans="1:33" ht="19.5" customHeight="1">
      <c r="A19" s="47"/>
      <c r="B19" s="165"/>
      <c r="C19" s="237"/>
      <c r="D19" s="238"/>
      <c r="E19" s="166"/>
      <c r="F19" s="167"/>
      <c r="G19" s="165"/>
      <c r="H19" s="169" t="s">
        <v>13</v>
      </c>
      <c r="I19" s="189">
        <v>10000</v>
      </c>
      <c r="J19" s="165"/>
      <c r="K19" s="189">
        <v>10000</v>
      </c>
      <c r="L19" s="190">
        <v>0.98150000000000004</v>
      </c>
      <c r="M19" s="162"/>
      <c r="N19" s="189">
        <v>10000</v>
      </c>
      <c r="O19" s="190">
        <v>0.97260000000000002</v>
      </c>
      <c r="P19" s="162"/>
      <c r="Q19" s="189">
        <v>10000</v>
      </c>
      <c r="R19" s="194">
        <v>0.96689999999999998</v>
      </c>
      <c r="T19" s="47"/>
      <c r="AG19" s="211"/>
    </row>
    <row r="20" spans="1:33" ht="19.5" customHeight="1">
      <c r="A20" s="47"/>
      <c r="B20" s="165"/>
      <c r="C20" s="237"/>
      <c r="D20" s="238"/>
      <c r="E20" s="166"/>
      <c r="F20" s="167"/>
      <c r="G20" s="165"/>
      <c r="H20" s="169" t="s">
        <v>14</v>
      </c>
      <c r="I20" s="189">
        <v>60</v>
      </c>
      <c r="J20" s="165"/>
      <c r="K20" s="189"/>
      <c r="L20" s="190"/>
      <c r="M20" s="162"/>
      <c r="N20" s="189"/>
      <c r="O20" s="190"/>
      <c r="P20" s="162"/>
      <c r="Q20" s="189"/>
      <c r="R20" s="194"/>
      <c r="T20" s="47"/>
      <c r="AG20" s="211"/>
    </row>
    <row r="21" spans="1:33" ht="19.5" customHeight="1">
      <c r="A21" s="47"/>
      <c r="B21" s="165"/>
      <c r="C21" s="237"/>
      <c r="D21" s="238"/>
      <c r="E21" s="166"/>
      <c r="F21" s="167"/>
      <c r="G21" s="165"/>
      <c r="H21" s="169" t="s">
        <v>15</v>
      </c>
      <c r="I21" s="189">
        <v>55</v>
      </c>
      <c r="J21" s="165"/>
      <c r="K21" s="189"/>
      <c r="L21" s="190"/>
      <c r="M21" s="162"/>
      <c r="N21" s="189"/>
      <c r="O21" s="190"/>
      <c r="P21" s="162"/>
      <c r="Q21" s="189"/>
      <c r="R21" s="194"/>
      <c r="T21" s="47"/>
      <c r="AG21" s="211"/>
    </row>
    <row r="22" spans="1:33" ht="19.5" customHeight="1">
      <c r="A22" s="47"/>
      <c r="B22" s="165"/>
      <c r="C22" s="237"/>
      <c r="D22" s="238"/>
      <c r="E22" s="166"/>
      <c r="F22" s="167"/>
      <c r="G22" s="165"/>
      <c r="H22" s="169" t="s">
        <v>16</v>
      </c>
      <c r="I22" s="189">
        <v>85</v>
      </c>
      <c r="J22" s="165"/>
      <c r="K22" s="192"/>
      <c r="L22" s="193"/>
      <c r="M22" s="162"/>
      <c r="N22" s="189"/>
      <c r="O22" s="194"/>
      <c r="P22" s="162"/>
      <c r="Q22" s="189"/>
      <c r="R22" s="194"/>
      <c r="T22" s="47"/>
      <c r="AG22" s="211"/>
    </row>
    <row r="23" spans="1:33" ht="21" customHeight="1">
      <c r="A23" s="47"/>
      <c r="B23" s="165"/>
      <c r="C23" s="237"/>
      <c r="D23" s="238"/>
      <c r="E23" s="166"/>
      <c r="F23" s="167"/>
      <c r="G23" s="165"/>
      <c r="H23" s="170" t="s">
        <v>17</v>
      </c>
      <c r="I23" s="195">
        <v>105</v>
      </c>
      <c r="J23" s="165"/>
      <c r="K23" s="189"/>
      <c r="L23" s="194"/>
      <c r="M23" s="162"/>
      <c r="N23" s="189"/>
      <c r="O23" s="194"/>
      <c r="P23" s="162"/>
      <c r="Q23" s="189"/>
      <c r="R23" s="194"/>
      <c r="T23" s="47"/>
    </row>
    <row r="24" spans="1:33" ht="20.25" customHeight="1">
      <c r="A24" s="47"/>
      <c r="B24" s="165"/>
      <c r="C24" s="237"/>
      <c r="D24" s="238"/>
      <c r="E24" s="166"/>
      <c r="F24" s="167"/>
      <c r="G24" s="165"/>
      <c r="H24" s="245" t="str">
        <f>IF(AND(I22&lt;&gt;"",I21=""),"Please enter value for 'Tested Case Temperature 1'",IF(AND(OR(I21="",I22=""),I23&lt;&gt;""),"Please enter values for 'Tested Case Temperature 1' and Tested Case Temperature 2'",""))</f>
        <v/>
      </c>
      <c r="I24" s="245"/>
      <c r="J24" s="165"/>
      <c r="K24" s="189"/>
      <c r="L24" s="194"/>
      <c r="M24" s="162"/>
      <c r="N24" s="189"/>
      <c r="O24" s="194"/>
      <c r="P24" s="162"/>
      <c r="Q24" s="189"/>
      <c r="R24" s="194"/>
      <c r="T24" s="47"/>
    </row>
    <row r="25" spans="1:33" ht="18" customHeight="1">
      <c r="A25" s="47"/>
      <c r="B25" s="165"/>
      <c r="C25" s="237"/>
      <c r="D25" s="238"/>
      <c r="E25" s="166"/>
      <c r="F25" s="167"/>
      <c r="G25" s="165"/>
      <c r="H25" s="246"/>
      <c r="I25" s="246"/>
      <c r="J25" s="165"/>
      <c r="K25" s="189"/>
      <c r="L25" s="194"/>
      <c r="M25" s="162"/>
      <c r="N25" s="189"/>
      <c r="O25" s="194"/>
      <c r="P25" s="162"/>
      <c r="Q25" s="189"/>
      <c r="R25" s="194"/>
      <c r="T25" s="47"/>
    </row>
    <row r="26" spans="1:33" ht="18.75" customHeight="1">
      <c r="A26" s="47"/>
      <c r="B26" s="165"/>
      <c r="C26" s="237"/>
      <c r="D26" s="238"/>
      <c r="E26" s="166"/>
      <c r="F26" s="167"/>
      <c r="G26" s="165"/>
      <c r="H26" s="246"/>
      <c r="I26" s="246"/>
      <c r="J26" s="165"/>
      <c r="K26" s="189"/>
      <c r="L26" s="194"/>
      <c r="M26" s="162"/>
      <c r="N26" s="189"/>
      <c r="O26" s="194"/>
      <c r="P26" s="162"/>
      <c r="Q26" s="189"/>
      <c r="R26" s="194"/>
      <c r="T26" s="47"/>
    </row>
    <row r="27" spans="1:33" ht="21" customHeight="1">
      <c r="A27" s="47"/>
      <c r="B27" s="165"/>
      <c r="C27" s="237"/>
      <c r="D27" s="238"/>
      <c r="E27" s="166"/>
      <c r="F27" s="167"/>
      <c r="G27" s="165"/>
      <c r="J27" s="165"/>
      <c r="K27" s="189"/>
      <c r="L27" s="194"/>
      <c r="M27" s="162"/>
      <c r="N27" s="189"/>
      <c r="O27" s="194"/>
      <c r="P27" s="162"/>
      <c r="Q27" s="189"/>
      <c r="R27" s="194"/>
      <c r="T27" s="47"/>
    </row>
    <row r="28" spans="1:33" ht="18.75" customHeight="1">
      <c r="A28" s="47"/>
      <c r="B28" s="165"/>
      <c r="C28" s="237"/>
      <c r="D28" s="238"/>
      <c r="E28" s="166"/>
      <c r="F28" s="167"/>
      <c r="G28" s="165"/>
      <c r="J28" s="171"/>
      <c r="K28" s="189"/>
      <c r="L28" s="194"/>
      <c r="M28" s="162"/>
      <c r="N28" s="189"/>
      <c r="O28" s="194"/>
      <c r="P28" s="162"/>
      <c r="Q28" s="189"/>
      <c r="R28" s="194"/>
      <c r="T28" s="47"/>
    </row>
    <row r="29" spans="1:33" ht="19.5" customHeight="1">
      <c r="A29" s="47"/>
      <c r="B29" s="171"/>
      <c r="C29" s="237"/>
      <c r="D29" s="238"/>
      <c r="E29" s="172"/>
      <c r="F29" s="173"/>
      <c r="G29" s="171"/>
      <c r="J29" s="171"/>
      <c r="K29" s="195"/>
      <c r="L29" s="196"/>
      <c r="M29" s="162"/>
      <c r="N29" s="195"/>
      <c r="O29" s="196"/>
      <c r="P29" s="162"/>
      <c r="Q29" s="195"/>
      <c r="R29" s="196"/>
      <c r="T29" s="47"/>
    </row>
    <row r="30" spans="1:33" ht="12" customHeight="1">
      <c r="A30" s="47"/>
      <c r="B30" s="171"/>
      <c r="C30" s="237"/>
      <c r="D30" s="238"/>
      <c r="E30" s="171"/>
      <c r="F30" s="173"/>
      <c r="G30" s="171"/>
      <c r="J30" s="171"/>
      <c r="K30" s="186"/>
      <c r="L30" s="186"/>
      <c r="M30" s="186"/>
      <c r="N30" s="186"/>
      <c r="O30" s="186"/>
      <c r="P30" s="186"/>
      <c r="Q30" s="186"/>
      <c r="R30" s="186"/>
      <c r="T30" s="47"/>
    </row>
    <row r="31" spans="1:33" ht="10.5" customHeight="1">
      <c r="A31" s="47"/>
      <c r="B31" s="172"/>
      <c r="C31" s="237"/>
      <c r="D31" s="238"/>
      <c r="E31" s="172"/>
      <c r="F31" s="173"/>
      <c r="G31" s="173"/>
      <c r="H31" s="47"/>
      <c r="I31" s="47"/>
      <c r="J31" s="173"/>
      <c r="K31" s="183"/>
      <c r="L31" s="183"/>
      <c r="M31" s="183"/>
      <c r="N31" s="183"/>
      <c r="O31" s="183"/>
      <c r="P31" s="183"/>
      <c r="Q31" s="183"/>
      <c r="R31" s="183"/>
      <c r="S31" s="47"/>
      <c r="T31" s="47"/>
    </row>
    <row r="32" spans="1:33" ht="27" customHeight="1">
      <c r="A32" s="47"/>
      <c r="B32" s="172"/>
      <c r="C32" s="237"/>
      <c r="D32" s="238"/>
      <c r="E32" s="172"/>
      <c r="F32" s="173"/>
      <c r="G32" s="171"/>
      <c r="H32" s="223" t="s">
        <v>18</v>
      </c>
      <c r="I32" s="224"/>
      <c r="K32" s="186"/>
      <c r="N32" s="186"/>
      <c r="O32" s="186"/>
      <c r="P32" s="183"/>
      <c r="Q32" s="186"/>
      <c r="R32" s="186"/>
    </row>
    <row r="33" spans="1:18" ht="37.5" customHeight="1">
      <c r="A33" s="47"/>
      <c r="B33" s="172"/>
      <c r="C33" s="237"/>
      <c r="D33" s="238"/>
      <c r="E33" s="172"/>
      <c r="F33" s="173"/>
      <c r="H33" s="174" t="s">
        <v>19</v>
      </c>
      <c r="I33" s="187">
        <v>38</v>
      </c>
      <c r="J33" s="197" t="str">
        <f>IF(I33&gt;I20,"The drive current of the chip in the luminaire must be less than or equal to the chip as tested under LM-80.","")</f>
        <v/>
      </c>
      <c r="K33" s="198"/>
      <c r="L33" s="198"/>
      <c r="N33" s="186"/>
      <c r="O33" s="186"/>
      <c r="P33" s="47"/>
      <c r="Q33" s="186"/>
      <c r="R33" s="186"/>
    </row>
    <row r="34" spans="1:18" ht="23.25" customHeight="1">
      <c r="A34" s="47"/>
      <c r="B34" s="172"/>
      <c r="C34" s="237"/>
      <c r="D34" s="238"/>
      <c r="E34" s="172"/>
      <c r="F34" s="173"/>
      <c r="H34" s="175" t="s">
        <v>20</v>
      </c>
      <c r="I34" s="189">
        <v>39.200000000000003</v>
      </c>
      <c r="J34" s="199" t="str">
        <f>IF('TM-21 Inputs'!I34&gt;MAX('TM-21 Inputs'!I21:I23),"In situ case temperature must be less than or equal to the maximum LM-80 test temperature.","")</f>
        <v/>
      </c>
      <c r="K34" s="200"/>
      <c r="L34" s="200"/>
      <c r="M34" s="201"/>
      <c r="N34" s="186"/>
      <c r="O34" s="186"/>
      <c r="P34" s="47"/>
      <c r="Q34" s="186"/>
      <c r="R34" s="186"/>
    </row>
    <row r="35" spans="1:18" ht="40.5" customHeight="1">
      <c r="A35" s="47"/>
      <c r="B35" s="172"/>
      <c r="C35" s="237"/>
      <c r="D35" s="238"/>
      <c r="E35" s="172"/>
      <c r="F35" s="173"/>
      <c r="H35" s="176" t="s">
        <v>21</v>
      </c>
      <c r="I35" s="195">
        <v>90</v>
      </c>
      <c r="J35" s="202"/>
      <c r="K35" s="200"/>
      <c r="L35" s="200"/>
      <c r="M35" s="201"/>
      <c r="N35" s="186"/>
      <c r="O35" s="186"/>
      <c r="P35" s="47"/>
      <c r="Q35" s="186"/>
      <c r="R35" s="186"/>
    </row>
    <row r="36" spans="1:18" ht="11.25" customHeight="1">
      <c r="A36" s="47"/>
      <c r="B36" s="172"/>
      <c r="C36" s="237"/>
      <c r="D36" s="238"/>
      <c r="E36" s="172"/>
      <c r="F36" s="173"/>
      <c r="H36" s="50"/>
      <c r="J36" s="203"/>
      <c r="K36" s="203"/>
      <c r="L36" s="204"/>
      <c r="M36" s="201"/>
      <c r="N36" s="186"/>
      <c r="O36" s="186"/>
      <c r="P36" s="47"/>
      <c r="Q36" s="186"/>
      <c r="R36" s="186"/>
    </row>
    <row r="37" spans="1:18" ht="11.25" customHeight="1">
      <c r="A37" s="47"/>
      <c r="B37" s="177"/>
      <c r="C37" s="237"/>
      <c r="D37" s="238"/>
      <c r="E37" s="177"/>
      <c r="F37" s="173"/>
      <c r="G37" s="156"/>
      <c r="H37" s="178"/>
      <c r="I37" s="47"/>
      <c r="J37" s="156"/>
      <c r="K37" s="183"/>
      <c r="L37" s="183"/>
      <c r="M37" s="183"/>
      <c r="N37" s="183"/>
      <c r="O37" s="183"/>
      <c r="P37" s="183"/>
      <c r="Q37" s="186"/>
      <c r="R37" s="186"/>
    </row>
    <row r="38" spans="1:18" ht="23.25" customHeight="1">
      <c r="A38" s="47"/>
      <c r="B38" s="177"/>
      <c r="C38" s="237"/>
      <c r="D38" s="238"/>
      <c r="E38" s="177"/>
      <c r="F38" s="173"/>
      <c r="H38" s="225" t="s">
        <v>22</v>
      </c>
      <c r="I38" s="226"/>
      <c r="K38" s="186"/>
      <c r="L38" s="186"/>
      <c r="N38" s="186"/>
      <c r="O38" s="186"/>
      <c r="P38" s="183"/>
      <c r="Q38" s="186"/>
      <c r="R38" s="186"/>
    </row>
    <row r="39" spans="1:18" ht="4.5" customHeight="1">
      <c r="A39" s="47"/>
      <c r="C39" s="237"/>
      <c r="D39" s="238"/>
      <c r="F39" s="173"/>
      <c r="H39" s="50"/>
      <c r="P39" s="182"/>
    </row>
    <row r="40" spans="1:18" ht="33.75" customHeight="1">
      <c r="A40" s="47"/>
      <c r="C40" s="237"/>
      <c r="D40" s="238"/>
      <c r="F40" s="173"/>
      <c r="H40" s="174" t="s">
        <v>23</v>
      </c>
      <c r="I40" s="205">
        <v>50000</v>
      </c>
      <c r="J40" s="181"/>
      <c r="P40" s="182"/>
    </row>
    <row r="41" spans="1:18" ht="18">
      <c r="A41" s="47"/>
      <c r="C41" s="237"/>
      <c r="D41" s="238"/>
      <c r="F41" s="173"/>
      <c r="H41" s="176" t="s">
        <v>24</v>
      </c>
      <c r="I41" s="206">
        <f>IFERROR(IF(I40="","",IF('TM-21 Inputs'!I34="","",'Product Inputs'!C13*EXP(-I40*'Product Inputs'!C15))),"")</f>
        <v>0.9043523507358201</v>
      </c>
      <c r="J41" s="243" t="str">
        <f>IFERROR(IF(OR('TM-21 Report'!M13&lt;0,'TM-21 Report'!M17&lt;0),"One or more of the tests resulted in negative L70 values. Please refer to sections 5.2.5 and 6.4 of IES TM-21-11 for instructions on how to estimate the reported lumen maintenance life (L70).",IF(I18="","",IF('Product Inputs'!C17="error","Number of samples measured must be ≥10. Please enter the correct number of samples in above",""))),"")</f>
        <v/>
      </c>
      <c r="K41" s="244"/>
      <c r="L41" s="244"/>
      <c r="M41" s="244"/>
      <c r="N41" s="244"/>
      <c r="O41" s="244"/>
      <c r="P41" s="182"/>
    </row>
    <row r="42" spans="1:18" ht="18.75" customHeight="1">
      <c r="A42" s="47"/>
      <c r="C42" s="239"/>
      <c r="D42" s="240"/>
      <c r="F42" s="173"/>
      <c r="H42" s="179" t="str">
        <f>IF(I35="","Calculated LM (hours):",CONCATENATE("Calculated L",'TM-21 Inputs'!I35," (hours):"))</f>
        <v>Calculated L90 (hours):</v>
      </c>
      <c r="I42" s="207">
        <f>IFERROR(ROUND('Product Inputs'!C16,-3),"")</f>
        <v>52000</v>
      </c>
      <c r="J42" s="243"/>
      <c r="K42" s="244"/>
      <c r="L42" s="244"/>
      <c r="M42" s="244"/>
      <c r="N42" s="244"/>
      <c r="O42" s="244"/>
      <c r="P42" s="182"/>
    </row>
    <row r="43" spans="1:18" ht="18">
      <c r="A43" s="47"/>
      <c r="C43" s="241"/>
      <c r="D43" s="242"/>
      <c r="F43" s="173"/>
      <c r="H43" s="180" t="str">
        <f>IF(I35="","Reported LM (hours):",CONCATENATE("Reported L",'TM-21 Inputs'!I35," (hours):"))</f>
        <v>Reported L90 (hours):</v>
      </c>
      <c r="I43" s="208">
        <f>IFERROR(IF('Product Inputs'!C17="error","",'Product Inputs'!C17),"")</f>
        <v>52000</v>
      </c>
      <c r="J43" s="243"/>
      <c r="K43" s="244"/>
      <c r="L43" s="244"/>
      <c r="M43" s="244"/>
      <c r="N43" s="244"/>
      <c r="O43" s="244"/>
      <c r="P43" s="182"/>
    </row>
    <row r="44" spans="1:18" ht="11.25" customHeight="1">
      <c r="A44" s="47"/>
      <c r="F44" s="173"/>
      <c r="J44" s="209"/>
      <c r="K44" s="209"/>
      <c r="L44" s="210"/>
      <c r="M44" s="210"/>
      <c r="N44" s="210"/>
      <c r="O44" s="210"/>
      <c r="P44" s="182"/>
    </row>
    <row r="45" spans="1:18" ht="11.25" customHeight="1">
      <c r="A45" s="47"/>
      <c r="B45" s="47"/>
      <c r="C45" s="47"/>
      <c r="D45" s="47"/>
      <c r="E45" s="47"/>
      <c r="F45" s="47"/>
      <c r="G45" s="47"/>
      <c r="H45" s="47"/>
      <c r="I45" s="47"/>
      <c r="J45" s="47"/>
      <c r="K45" s="182"/>
      <c r="L45" s="182"/>
      <c r="M45" s="183"/>
      <c r="N45" s="183"/>
      <c r="O45" s="183"/>
      <c r="P45" s="182"/>
    </row>
    <row r="46" spans="1:18" ht="15">
      <c r="C46" s="181"/>
    </row>
  </sheetData>
  <sheetProtection password="C696" sheet="1" objects="1" scenarios="1"/>
  <mergeCells count="14">
    <mergeCell ref="H15:I15"/>
    <mergeCell ref="H32:I32"/>
    <mergeCell ref="H38:I38"/>
    <mergeCell ref="B2:S5"/>
    <mergeCell ref="H9:I12"/>
    <mergeCell ref="C9:D43"/>
    <mergeCell ref="J41:O43"/>
    <mergeCell ref="H24:I26"/>
    <mergeCell ref="G7:S7"/>
    <mergeCell ref="C8:D8"/>
    <mergeCell ref="H8:I8"/>
    <mergeCell ref="K8:L8"/>
    <mergeCell ref="N8:O8"/>
    <mergeCell ref="Q8:R8"/>
  </mergeCells>
  <conditionalFormatting sqref="I18">
    <cfRule type="cellIs" dxfId="1" priority="1" stopIfTrue="1" operator="lessThan">
      <formula>10</formula>
    </cfRule>
  </conditionalFormatting>
  <pageMargins left="0.69930555555555596" right="0.69930555555555596" top="0.75" bottom="0.75" header="0.3" footer="0.3"/>
  <pageSetup scale="43" orientation="landscape" horizontalDpi="300" verticalDpi="300" r:id="rId1"/>
  <colBreaks count="1" manualBreakCount="1">
    <brk id="2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zoomScale="70" zoomScaleNormal="70" workbookViewId="0">
      <selection activeCell="C7" sqref="C7"/>
    </sheetView>
  </sheetViews>
  <sheetFormatPr defaultColWidth="9.125" defaultRowHeight="13.5"/>
  <cols>
    <col min="1" max="1" width="9.125" style="115"/>
    <col min="2" max="2" width="44.875" style="115" customWidth="1"/>
    <col min="3" max="3" width="15.375" style="115" customWidth="1"/>
    <col min="4" max="4" width="12.25" style="1" customWidth="1"/>
    <col min="5" max="5" width="9.125" style="1"/>
    <col min="6" max="6" width="19.875" style="1" customWidth="1"/>
    <col min="7" max="7" width="13" style="1" customWidth="1"/>
    <col min="8" max="8" width="2.875" style="1" customWidth="1"/>
    <col min="9" max="9" width="19.875" style="1" customWidth="1"/>
    <col min="10" max="10" width="13" style="1" customWidth="1"/>
    <col min="11" max="11" width="2.75" style="1" customWidth="1"/>
    <col min="12" max="12" width="19.875" style="1" customWidth="1"/>
    <col min="13" max="13" width="13" style="1" customWidth="1"/>
    <col min="14" max="16384" width="9.125" style="1"/>
  </cols>
  <sheetData>
    <row r="2" spans="2:13">
      <c r="B2" s="116" t="s">
        <v>25</v>
      </c>
      <c r="C2" s="117">
        <f>COUNTIF('TM-21 Inputs'!I21:I23,"&gt;="&amp;0)</f>
        <v>3</v>
      </c>
    </row>
    <row r="3" spans="2:13" ht="30">
      <c r="B3" s="118" t="s">
        <v>26</v>
      </c>
      <c r="C3" s="119">
        <f>IF(OR(C14='Product Inputs'!G7,C14='Product Inputs'!J7,C14='Product Inputs'!M7),C14,IF(C14&gt;MAX('Product Inputs'!G7,'Product Inputs'!J7,'Product Inputs'!M7),"In situ case temp too high",IF(C2=1,'Product Inputs'!G7,IF(AND(C2=2,C14&lt;MIN('Product Inputs'!G7,'Product Inputs'!J7)),'Product Inputs'!G7,IF(AND(C2=2,C14&gt;MIN('Product Inputs'!G7,'Product Inputs'!J7),C14&lt;MAX('Product Inputs'!G7,'Product Inputs'!J7)),MIN('Product Inputs'!G7,'Product Inputs'!J7),IF(AND(C2=3,C14&lt;MIN('Product Inputs'!G7,'Product Inputs'!J7,'Product Inputs'!M7)),'Product Inputs'!G7,IF(AND(C2=3,C14&gt;MIN('Product Inputs'!G7,'Product Inputs'!J7,'Product Inputs'!M7),C14&lt;MEDIAN('Product Inputs'!G7,'Product Inputs'!J7,'Product Inputs'!M7)),MIN('Product Inputs'!G7,'Product Inputs'!J7,'Product Inputs'!M7),IF(AND(C2=3,C14&gt;MEDIAN('Product Inputs'!G7,'Product Inputs'!J7,'Product Inputs'!M7),C14&lt;MAX('Product Inputs'!G7,'Product Inputs'!J7,'Product Inputs'!M7)),MEDIAN('Product Inputs'!G7,'Product Inputs'!J7,'Product Inputs'!M7),"error"))))))))</f>
        <v>328.15</v>
      </c>
    </row>
    <row r="4" spans="2:13" ht="18">
      <c r="B4" s="120" t="s">
        <v>27</v>
      </c>
      <c r="C4" s="121">
        <f>IF(C3='Product Inputs'!G7,'Product Inputs'!G8,IF(C3='Product Inputs'!J7,'Product Inputs'!J8,IF(C3='Product Inputs'!M7,'Product Inputs'!M8)))</f>
        <v>2.0531541575556211E-6</v>
      </c>
      <c r="F4" s="247" t="s">
        <v>28</v>
      </c>
      <c r="G4" s="248"/>
      <c r="H4" s="248"/>
      <c r="I4" s="248"/>
      <c r="J4" s="248"/>
      <c r="K4" s="248"/>
      <c r="L4" s="248"/>
      <c r="M4" s="249"/>
    </row>
    <row r="5" spans="2:13" ht="16.5">
      <c r="B5" s="122" t="s">
        <v>29</v>
      </c>
      <c r="C5" s="123">
        <f>IF(C3='Product Inputs'!G7,'Product Inputs'!G9,IF(C3='Product Inputs'!J7,'Product Inputs'!J9,IF(C3='Product Inputs'!M7,'Product Inputs'!M9)))</f>
        <v>1.0021237337957221</v>
      </c>
      <c r="F5" s="250" t="s">
        <v>30</v>
      </c>
      <c r="G5" s="251"/>
      <c r="H5" s="124"/>
      <c r="I5" s="252" t="s">
        <v>31</v>
      </c>
      <c r="J5" s="251"/>
      <c r="K5" s="124"/>
      <c r="L5" s="252" t="s">
        <v>32</v>
      </c>
      <c r="M5" s="253"/>
    </row>
    <row r="6" spans="2:13" ht="30">
      <c r="B6" s="118" t="s">
        <v>33</v>
      </c>
      <c r="C6" s="125" t="str">
        <f>IF(OR(C14='Product Inputs'!G7,C14='Product Inputs'!J7,C14='Product Inputs'!M7,C2=1),"N/A",IF(C14&gt;MAX('Product Inputs'!G7,'Product Inputs'!J7,'Product Inputs'!M7),"N/A",IF(OR(AND(C2=3,C14&lt;=MIN('Product Inputs'!G7,'Product Inputs'!J7,'Product Inputs'!M7)),AND(C14&lt;=MIN('Product Inputs'!G7,'Product Inputs'!J7),C2=2)),"N/A",IF(AND(C2=2,C14&gt;MIN('Product Inputs'!G7,'Product Inputs'!J7),C14&lt;MAX('Product Inputs'!G7,'Product Inputs'!J7)),MAX('Product Inputs'!G7,'Product Inputs'!J7),IF(AND(C2=3,C14&gt;MIN('Product Inputs'!G7,'Product Inputs'!J7,'Product Inputs'!M7),C14&lt;MEDIAN('Product Inputs'!G7,'Product Inputs'!J7,'Product Inputs'!M7)),MEDIAN('Product Inputs'!G7,'Product Inputs'!J7,'Product Inputs'!M7),IF(AND(C2=3,C14&gt;MEDIAN('Product Inputs'!G7,'Product Inputs'!J7,'Product Inputs'!M7),C14&lt;MAX('Product Inputs'!G7,'Product Inputs'!J7,'Product Inputs'!M7)),MAX('Product Inputs'!G7,'Product Inputs'!J7,'Product Inputs'!M7),"error"))))))</f>
        <v>N/A</v>
      </c>
      <c r="F6" s="126" t="s">
        <v>34</v>
      </c>
      <c r="G6" s="127">
        <f>IF('TM-21 Inputs'!I21="","",'TM-21 Inputs'!I21)</f>
        <v>55</v>
      </c>
      <c r="H6" s="128"/>
      <c r="I6" s="145" t="s">
        <v>34</v>
      </c>
      <c r="J6" s="127">
        <f>IF('TM-21 Inputs'!I22="","",'TM-21 Inputs'!I22)</f>
        <v>85</v>
      </c>
      <c r="K6" s="128"/>
      <c r="L6" s="145" t="s">
        <v>34</v>
      </c>
      <c r="M6" s="146">
        <f>IF('TM-21 Inputs'!I23="","",'TM-21 Inputs'!I23)</f>
        <v>105</v>
      </c>
    </row>
    <row r="7" spans="2:13" ht="15">
      <c r="B7" s="120" t="s">
        <v>35</v>
      </c>
      <c r="C7" s="121" t="str">
        <f>IF(C6="N/A","N/A",IF(C6='Product Inputs'!G7,'Product Inputs'!G8,IF(C6='Product Inputs'!J7,'Product Inputs'!J8,IF(C6='Product Inputs'!M7,'Product Inputs'!M8))))</f>
        <v>N/A</v>
      </c>
      <c r="F7" s="129" t="s">
        <v>36</v>
      </c>
      <c r="G7" s="130">
        <f>IF(G6="","",G6+273.15)</f>
        <v>328.15</v>
      </c>
      <c r="H7" s="128"/>
      <c r="I7" s="147" t="s">
        <v>36</v>
      </c>
      <c r="J7" s="130">
        <f>IF(J6="","",J6+273.15)</f>
        <v>358.15</v>
      </c>
      <c r="K7" s="132"/>
      <c r="L7" s="147" t="s">
        <v>36</v>
      </c>
      <c r="M7" s="148">
        <f>IF(M6="","",M6+273.15)</f>
        <v>378.15</v>
      </c>
    </row>
    <row r="8" spans="2:13" ht="16.5">
      <c r="B8" s="122" t="s">
        <v>37</v>
      </c>
      <c r="C8" s="123" t="str">
        <f>IF(C6="N/A","N/A",IF(C6='Product Inputs'!G7,'Product Inputs'!G9,IF(C6='Product Inputs'!J7,'Product Inputs'!J9,IF(C6='Product Inputs'!M7,'Product Inputs'!M9))))</f>
        <v>N/A</v>
      </c>
      <c r="F8" s="129" t="str">
        <f>'Calculations - Case Temp 1'!E31</f>
        <v>α:</v>
      </c>
      <c r="G8" s="131">
        <f>IF(G6="","",'Calculations - Case Temp 1'!F31)</f>
        <v>2.0531541575556211E-6</v>
      </c>
      <c r="H8" s="132"/>
      <c r="I8" s="147" t="str">
        <f>'Calculations - Case Temp 2'!E31</f>
        <v>α:</v>
      </c>
      <c r="J8" s="131">
        <f>IF(J6="","",'Calculations - Case Temp 2'!F31)</f>
        <v>2.7768230410863735E-6</v>
      </c>
      <c r="K8" s="132"/>
      <c r="L8" s="147" t="str">
        <f>'Calculations - Case Temp 3'!E31</f>
        <v>α:</v>
      </c>
      <c r="M8" s="149">
        <f>IF(M6="","",'Calculations - Case Temp 3'!F31)</f>
        <v>3.4217359071846224E-6</v>
      </c>
    </row>
    <row r="9" spans="2:13" ht="16.5">
      <c r="B9" s="133" t="s">
        <v>38</v>
      </c>
      <c r="C9" s="125" t="str">
        <f>IF(OR(C6="N/A",'TM-21 Inputs'!I34=""),"",IF(AND(C3&gt;0,C6&gt;0),(LN(C4)-LN(C7))/((1/C6)-(1/C3)),"error"))</f>
        <v/>
      </c>
      <c r="F9" s="129" t="str">
        <f>'Calculations - Case Temp 1'!E32</f>
        <v>B:</v>
      </c>
      <c r="G9" s="134">
        <f>IF(G6="","",'Calculations - Case Temp 1'!F32)</f>
        <v>1.0021237337957221</v>
      </c>
      <c r="H9" s="132"/>
      <c r="I9" s="147" t="str">
        <f>'Calculations - Case Temp 2'!E32</f>
        <v>B:</v>
      </c>
      <c r="J9" s="134">
        <f>IF(J6="","",'Calculations - Case Temp 2'!F32)</f>
        <v>1.0003060801411601</v>
      </c>
      <c r="K9" s="132"/>
      <c r="L9" s="147" t="str">
        <f>'Calculations - Case Temp 3'!E32</f>
        <v>B:</v>
      </c>
      <c r="M9" s="150">
        <f>IF(M6="","",'Calculations - Case Temp 3'!F32)</f>
        <v>1.0007385738442012</v>
      </c>
    </row>
    <row r="10" spans="2:13" ht="16.5">
      <c r="B10" s="135" t="s">
        <v>39</v>
      </c>
      <c r="C10" s="136">
        <f>8.6173*(10^-5)</f>
        <v>8.6173000000000003E-5</v>
      </c>
      <c r="F10" s="129" t="str">
        <f>'Calculations - Case Temp 1'!E33</f>
        <v>Calculated L90 (hrs):</v>
      </c>
      <c r="G10" s="137">
        <f>IF(G6="","",'Calculations - Case Temp 1'!F33)</f>
        <v>52000</v>
      </c>
      <c r="H10" s="132"/>
      <c r="I10" s="147" t="str">
        <f>'Calculations - Case Temp 2'!E33</f>
        <v>Calculated L90 (hrs):</v>
      </c>
      <c r="J10" s="137">
        <f>IF(J6="","",'Calculations - Case Temp 2'!F33)</f>
        <v>38000</v>
      </c>
      <c r="K10" s="132"/>
      <c r="L10" s="147" t="str">
        <f>'Calculations - Case Temp 3'!E33</f>
        <v>Calculated L90 (hrs):</v>
      </c>
      <c r="M10" s="151">
        <f>IF(M6="","",'Calculations - Case Temp 3'!F33)</f>
        <v>31000</v>
      </c>
    </row>
    <row r="11" spans="2:13" ht="16.5">
      <c r="B11" s="135" t="s">
        <v>40</v>
      </c>
      <c r="C11" s="136" t="str">
        <f>IF(OR(C6="N/A",'TM-21 Inputs'!I34=""),"",C9*C10)</f>
        <v/>
      </c>
      <c r="F11" s="138" t="str">
        <f>'Calculations - Case Temp 1'!E34</f>
        <v>Reported L90 (hrs):</v>
      </c>
      <c r="G11" s="139">
        <f>IF(G6="","",'Calculations - Case Temp 1'!F34)</f>
        <v>52000</v>
      </c>
      <c r="H11" s="140"/>
      <c r="I11" s="152" t="str">
        <f>'Calculations - Case Temp 2'!E34</f>
        <v>Reported L90 (hrs):</v>
      </c>
      <c r="J11" s="139">
        <f>IF(J6="","",'Calculations - Case Temp 2'!F34)</f>
        <v>38000</v>
      </c>
      <c r="K11" s="140"/>
      <c r="L11" s="152" t="str">
        <f>'Calculations - Case Temp 3'!E34</f>
        <v>Reported L90 (hrs):</v>
      </c>
      <c r="M11" s="153">
        <f>IF(M6="","",'Calculations - Case Temp 3'!F34)</f>
        <v>31000</v>
      </c>
    </row>
    <row r="12" spans="2:13">
      <c r="B12" s="135" t="s">
        <v>41</v>
      </c>
      <c r="C12" s="121" t="str">
        <f>IF(OR(C6="N/A",'TM-21 Inputs'!I34=""),"",IF('TM-21 Inputs'!I34="","",C4*EXP(C11/(C10*C3))))</f>
        <v/>
      </c>
    </row>
    <row r="13" spans="2:13" ht="16.5">
      <c r="B13" s="141" t="s">
        <v>42</v>
      </c>
      <c r="C13" s="123">
        <f>IF('TM-21 Inputs'!I34="","",IF(C6="N/A",C5,IF('TM-21 Inputs'!I34="","",SQRT(C5*C8))))</f>
        <v>1.0021237337957221</v>
      </c>
    </row>
    <row r="14" spans="2:13" ht="16.5">
      <c r="B14" s="118" t="s">
        <v>43</v>
      </c>
      <c r="C14" s="142">
        <f>IF('TM-21 Inputs'!I34="","",'TM-21 Inputs'!I34+273.15)</f>
        <v>312.34999999999997</v>
      </c>
      <c r="I14" s="1" t="s">
        <v>44</v>
      </c>
    </row>
    <row r="15" spans="2:13" ht="18">
      <c r="B15" s="120" t="s">
        <v>45</v>
      </c>
      <c r="C15" s="121">
        <f>IF('TM-21 Inputs'!I34="","",IF(C6="N/A",C4,C12*(EXP(-C9/C14))))</f>
        <v>2.0531541575556211E-6</v>
      </c>
    </row>
    <row r="16" spans="2:13">
      <c r="B16" s="135" t="str">
        <f>CONCATENATE("Calculated L",'TM-21 Inputs'!I35," (hrs):")</f>
        <v>Calculated L90 (hrs):</v>
      </c>
      <c r="C16" s="143">
        <f>IF('TM-21 Inputs'!I34="","",ROUND((LN(100*C13/'TM-21 Inputs'!I35)/C15),-3))</f>
        <v>52000</v>
      </c>
    </row>
    <row r="17" spans="2:3">
      <c r="B17" s="141" t="str">
        <f>CONCATENATE("Reported L",'TM-21 Inputs'!I35," (hrs):")</f>
        <v>Reported L90 (hrs):</v>
      </c>
      <c r="C17" s="144">
        <f>IF(C16="","",IF(OR(AND('TM-21 Inputs'!$I$18&gt;=20,$C$16&lt;6*'TM-21 Inputs'!$I$19),AND('TM-21 Inputs'!$I$18&gt;=10,'TM-21 Inputs'!$I$18&lt;=19,$C$16&lt;5.5*'TM-21 Inputs'!$I$19)),ROUND(C16,-3),IF('TM-21 Inputs'!$I$18&gt;=20,CONCATENATE("&gt;",ROUND((6*'TM-21 Inputs'!$I$19),-3)),IF(AND('TM-21 Inputs'!$I$18&gt;=10,'TM-21 Inputs'!$I$18&lt;=19),CONCATENATE("&gt;",ROUND(5.5*'TM-21 Inputs'!$I$19,-3)),"error"))))</f>
        <v>52000</v>
      </c>
    </row>
  </sheetData>
  <sheetProtection password="C696" sheet="1" objects="1" scenarios="1"/>
  <mergeCells count="4">
    <mergeCell ref="F4:M4"/>
    <mergeCell ref="F5:G5"/>
    <mergeCell ref="I5:J5"/>
    <mergeCell ref="L5:M5"/>
  </mergeCells>
  <conditionalFormatting sqref="C3">
    <cfRule type="cellIs" dxfId="0" priority="1" stopIfTrue="1" operator="equal">
      <formula>"In situ case temp too high"</formula>
    </cfRule>
  </conditionalFormatting>
  <pageMargins left="0.69930555555555596" right="0.69930555555555596" top="0.75" bottom="0.75" header="0.3" footer="0.3"/>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topLeftCell="J1" workbookViewId="0">
      <selection activeCell="K11" sqref="K11"/>
    </sheetView>
  </sheetViews>
  <sheetFormatPr defaultColWidth="9.125" defaultRowHeight="13.5"/>
  <cols>
    <col min="1" max="1" width="9.125" style="1" hidden="1" customWidth="1"/>
    <col min="2" max="2" width="37.875" style="1" hidden="1" customWidth="1"/>
    <col min="3" max="3" width="12" style="1" hidden="1" customWidth="1"/>
    <col min="4" max="4" width="9.125" style="1" hidden="1" customWidth="1"/>
    <col min="5" max="5" width="37.875" style="1" hidden="1" customWidth="1"/>
    <col min="6" max="6" width="12" style="1" hidden="1" customWidth="1"/>
    <col min="7" max="7" width="9.125" style="1" hidden="1" customWidth="1"/>
    <col min="8" max="8" width="37.875" style="1" hidden="1" customWidth="1"/>
    <col min="9" max="9" width="12" style="1" hidden="1" customWidth="1"/>
    <col min="10" max="10" width="9.125" style="1"/>
    <col min="11" max="11" width="19.25" style="1" customWidth="1"/>
    <col min="12" max="12" width="12" style="1" customWidth="1"/>
    <col min="13" max="16384" width="9.125" style="1"/>
  </cols>
  <sheetData>
    <row r="2" spans="2:12" ht="16.5">
      <c r="B2" s="94" t="s">
        <v>46</v>
      </c>
      <c r="C2" s="95">
        <f>'TM-21 Inputs'!I16</f>
        <v>20</v>
      </c>
      <c r="E2" s="94" t="s">
        <v>46</v>
      </c>
      <c r="F2" s="95">
        <f>'TM-21 Inputs'!I16</f>
        <v>20</v>
      </c>
      <c r="H2" s="94" t="s">
        <v>46</v>
      </c>
      <c r="I2" s="95">
        <f>'TM-21 Inputs'!I16</f>
        <v>20</v>
      </c>
      <c r="K2" s="104" t="s">
        <v>47</v>
      </c>
      <c r="L2" s="105">
        <f>IFERROR('Product Inputs'!C3-273.15,"")</f>
        <v>55</v>
      </c>
    </row>
    <row r="3" spans="2:12" ht="16.5">
      <c r="B3" s="96" t="s">
        <v>48</v>
      </c>
      <c r="C3" s="97">
        <f>'TM-21 Inputs'!I17</f>
        <v>0</v>
      </c>
      <c r="E3" s="96" t="s">
        <v>48</v>
      </c>
      <c r="F3" s="97">
        <f>'TM-21 Inputs'!I17</f>
        <v>0</v>
      </c>
      <c r="H3" s="96" t="s">
        <v>48</v>
      </c>
      <c r="I3" s="97">
        <f>'TM-21 Inputs'!I17</f>
        <v>0</v>
      </c>
      <c r="K3" s="106" t="s">
        <v>49</v>
      </c>
      <c r="L3" s="107">
        <f>'Product Inputs'!C3</f>
        <v>328.15</v>
      </c>
    </row>
    <row r="4" spans="2:12" ht="18">
      <c r="B4" s="96" t="s">
        <v>50</v>
      </c>
      <c r="C4" s="97">
        <f>'TM-21 Inputs'!I18</f>
        <v>20</v>
      </c>
      <c r="E4" s="96" t="s">
        <v>50</v>
      </c>
      <c r="F4" s="97">
        <f>'TM-21 Inputs'!I18</f>
        <v>20</v>
      </c>
      <c r="H4" s="96" t="s">
        <v>50</v>
      </c>
      <c r="I4" s="97">
        <f>'TM-21 Inputs'!I18</f>
        <v>20</v>
      </c>
      <c r="K4" s="99" t="s">
        <v>27</v>
      </c>
      <c r="L4" s="108">
        <f>'Product Inputs'!C4</f>
        <v>2.0531541575556211E-6</v>
      </c>
    </row>
    <row r="5" spans="2:12" ht="28.5">
      <c r="B5" s="96" t="s">
        <v>51</v>
      </c>
      <c r="C5" s="97">
        <f>'TM-21 Inputs'!I20</f>
        <v>60</v>
      </c>
      <c r="E5" s="96" t="s">
        <v>51</v>
      </c>
      <c r="F5" s="97">
        <f>'TM-21 Inputs'!I20</f>
        <v>60</v>
      </c>
      <c r="H5" s="96" t="s">
        <v>51</v>
      </c>
      <c r="I5" s="97">
        <f>'TM-21 Inputs'!I20</f>
        <v>60</v>
      </c>
      <c r="K5" s="109" t="s">
        <v>29</v>
      </c>
      <c r="L5" s="110">
        <f>'Product Inputs'!C5</f>
        <v>1.0021237337957221</v>
      </c>
    </row>
    <row r="6" spans="2:12" ht="16.5">
      <c r="B6" s="96" t="s">
        <v>52</v>
      </c>
      <c r="C6" s="97">
        <f>'TM-21 Inputs'!I19</f>
        <v>10000</v>
      </c>
      <c r="E6" s="96" t="s">
        <v>52</v>
      </c>
      <c r="F6" s="97">
        <f>'TM-21 Inputs'!I19</f>
        <v>10000</v>
      </c>
      <c r="H6" s="96" t="s">
        <v>52</v>
      </c>
      <c r="I6" s="97">
        <f>IF(I8="","",'TM-21 Inputs'!I19)</f>
        <v>10000</v>
      </c>
      <c r="K6" s="104" t="s">
        <v>53</v>
      </c>
      <c r="L6" s="105" t="str">
        <f>IFERROR('Product Inputs'!C6-273.15,"")</f>
        <v/>
      </c>
    </row>
    <row r="7" spans="2:12" ht="28.5">
      <c r="B7" s="96" t="s">
        <v>54</v>
      </c>
      <c r="C7" s="98">
        <f>C6-MIN('Calculations - Case Temp 1'!E6:E25)</f>
        <v>5000</v>
      </c>
      <c r="E7" s="96" t="s">
        <v>54</v>
      </c>
      <c r="F7" s="98">
        <f>C6-MIN('Calculations - Case Temp 2'!E6:E25)</f>
        <v>5000</v>
      </c>
      <c r="H7" s="96" t="s">
        <v>54</v>
      </c>
      <c r="I7" s="98">
        <f>IF(I8="","",C6-MIN('Calculations - Case Temp 3'!E6:E25))</f>
        <v>5000</v>
      </c>
      <c r="K7" s="106" t="s">
        <v>55</v>
      </c>
      <c r="L7" s="107" t="str">
        <f>'Product Inputs'!C6</f>
        <v>N/A</v>
      </c>
    </row>
    <row r="8" spans="2:12" ht="18">
      <c r="B8" s="96" t="s">
        <v>56</v>
      </c>
      <c r="C8" s="97">
        <f>IF('TM-21 Inputs'!I21="","",'TM-21 Inputs'!I21)</f>
        <v>55</v>
      </c>
      <c r="E8" s="96" t="s">
        <v>56</v>
      </c>
      <c r="F8" s="97">
        <f>IF('TM-21 Inputs'!I22="","",'TM-21 Inputs'!I22)</f>
        <v>85</v>
      </c>
      <c r="H8" s="96" t="s">
        <v>56</v>
      </c>
      <c r="I8" s="97">
        <f>IF('TM-21 Inputs'!I23="","",'TM-21 Inputs'!I23)</f>
        <v>105</v>
      </c>
      <c r="K8" s="99" t="s">
        <v>57</v>
      </c>
      <c r="L8" s="108" t="str">
        <f>'Product Inputs'!C7</f>
        <v>N/A</v>
      </c>
    </row>
    <row r="9" spans="2:12" ht="16.5">
      <c r="B9" s="99" t="s">
        <v>58</v>
      </c>
      <c r="C9" s="100">
        <f>'Calculations - Case Temp 1'!F31</f>
        <v>2.0531541575556211E-6</v>
      </c>
      <c r="E9" s="99" t="s">
        <v>58</v>
      </c>
      <c r="F9" s="100">
        <f>'Calculations - Case Temp 2'!F31</f>
        <v>2.7768230410863735E-6</v>
      </c>
      <c r="H9" s="99" t="s">
        <v>58</v>
      </c>
      <c r="I9" s="100">
        <f>IF(I8="","",'Calculations - Case Temp 3'!F31)</f>
        <v>3.4217359071846224E-6</v>
      </c>
      <c r="K9" s="109" t="s">
        <v>37</v>
      </c>
      <c r="L9" s="110" t="str">
        <f>'Product Inputs'!C8</f>
        <v>N/A</v>
      </c>
    </row>
    <row r="10" spans="2:12" ht="16.5">
      <c r="B10" s="96" t="s">
        <v>59</v>
      </c>
      <c r="C10" s="100">
        <f>'Calculations - Case Temp 1'!F32</f>
        <v>1.0021237337957221</v>
      </c>
      <c r="E10" s="96" t="s">
        <v>59</v>
      </c>
      <c r="F10" s="100">
        <f>'Calculations - Case Temp 2'!F32</f>
        <v>1.0003060801411601</v>
      </c>
      <c r="H10" s="96" t="s">
        <v>59</v>
      </c>
      <c r="I10" s="100">
        <f>IF(I8="","",'Calculations - Case Temp 3'!F32)</f>
        <v>1.0007385738442012</v>
      </c>
      <c r="K10" s="104" t="s">
        <v>38</v>
      </c>
      <c r="L10" s="111" t="str">
        <f>'Product Inputs'!C9</f>
        <v/>
      </c>
    </row>
    <row r="11" spans="2:12">
      <c r="B11" s="96" t="str">
        <f>CONCATENATE("Calculated L",'TM-21 Inputs'!I35," (hrs):")</f>
        <v>Calculated L90 (hrs):</v>
      </c>
      <c r="C11" s="101">
        <f>'Calculations - Case Temp 1'!F33</f>
        <v>52000</v>
      </c>
      <c r="E11" s="96" t="str">
        <f>CONCATENATE("Calculated L",'TM-21 Inputs'!I35," (hrs):")</f>
        <v>Calculated L90 (hrs):</v>
      </c>
      <c r="F11" s="101">
        <f>'Calculations - Case Temp 2'!F33</f>
        <v>38000</v>
      </c>
      <c r="H11" s="96" t="str">
        <f>CONCATENATE("Calculated L",'TM-21 Inputs'!I35," (hrs):")</f>
        <v>Calculated L90 (hrs):</v>
      </c>
      <c r="I11" s="101">
        <f>IF(I8="","",'Calculations - Case Temp 3'!F33)</f>
        <v>31000</v>
      </c>
      <c r="K11" s="106" t="s">
        <v>41</v>
      </c>
      <c r="L11" s="110" t="str">
        <f>'Product Inputs'!C12</f>
        <v/>
      </c>
    </row>
    <row r="12" spans="2:12" ht="16.5">
      <c r="B12" s="102" t="str">
        <f>CONCATENATE("Reported L",'TM-21 Inputs'!I35," (hrs):")</f>
        <v>Reported L90 (hrs):</v>
      </c>
      <c r="C12" s="103">
        <f>'Calculations - Case Temp 1'!F34</f>
        <v>52000</v>
      </c>
      <c r="E12" s="102" t="str">
        <f>CONCATENATE("Reported L",'TM-21 Inputs'!I35," (hrs):")</f>
        <v>Reported L90 (hrs):</v>
      </c>
      <c r="F12" s="103">
        <f>'Calculations - Case Temp 2'!F34</f>
        <v>38000</v>
      </c>
      <c r="H12" s="102" t="str">
        <f>CONCATENATE("Reported L",'TM-21 Inputs'!I35," (hrs):")</f>
        <v>Reported L90 (hrs):</v>
      </c>
      <c r="I12" s="103">
        <f>IF(I8="","",'Calculations - Case Temp 3'!F34)</f>
        <v>31000</v>
      </c>
      <c r="K12" s="109" t="s">
        <v>42</v>
      </c>
      <c r="L12" s="112">
        <f>'Product Inputs'!C13</f>
        <v>1.0021237337957221</v>
      </c>
    </row>
    <row r="13" spans="2:12" ht="16.5">
      <c r="K13" s="104" t="s">
        <v>60</v>
      </c>
      <c r="L13" s="95">
        <f>IF('Product Inputs'!C14="","",'Product Inputs'!C14-273.15)</f>
        <v>39.199999999999989</v>
      </c>
    </row>
    <row r="14" spans="2:12" ht="16.5">
      <c r="K14" s="106" t="s">
        <v>61</v>
      </c>
      <c r="L14" s="97">
        <f>'Product Inputs'!C14</f>
        <v>312.34999999999997</v>
      </c>
    </row>
    <row r="15" spans="2:12" ht="18">
      <c r="K15" s="113" t="s">
        <v>45</v>
      </c>
      <c r="L15" s="114">
        <f>'Product Inputs'!C15</f>
        <v>2.0531541575556211E-6</v>
      </c>
    </row>
  </sheetData>
  <sheetProtection password="C696" sheet="1" objects="1" scenarios="1"/>
  <pageMargins left="0.69930555555555596" right="0.69930555555555596"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90" zoomScaleNormal="90" workbookViewId="0">
      <selection activeCell="J22" sqref="J22"/>
    </sheetView>
  </sheetViews>
  <sheetFormatPr defaultColWidth="9.125" defaultRowHeight="13.5"/>
  <cols>
    <col min="1" max="1" width="1.875" style="45" customWidth="1"/>
    <col min="2" max="2" width="2.75" style="45" customWidth="1"/>
    <col min="3" max="3" width="23" style="45" customWidth="1"/>
    <col min="4" max="4" width="13.75" style="45" customWidth="1"/>
    <col min="5" max="5" width="2.125" style="45" customWidth="1"/>
    <col min="6" max="6" width="23" style="45" customWidth="1"/>
    <col min="7" max="7" width="13.75" style="45" customWidth="1"/>
    <col min="8" max="8" width="2.125" style="45" customWidth="1"/>
    <col min="9" max="9" width="23" style="45" customWidth="1"/>
    <col min="10" max="10" width="13.75" style="45" customWidth="1"/>
    <col min="11" max="11" width="3.875" style="45" customWidth="1"/>
    <col min="12" max="12" width="17.625" style="45" customWidth="1"/>
    <col min="13" max="13" width="33.25" style="45" customWidth="1"/>
    <col min="14" max="14" width="2.375" style="45" customWidth="1"/>
    <col min="15" max="15" width="1.875" style="45" customWidth="1"/>
    <col min="16" max="16384" width="9.125" style="45"/>
  </cols>
  <sheetData>
    <row r="1" spans="1:15" ht="11.25" customHeight="1">
      <c r="A1" s="46"/>
      <c r="B1" s="46"/>
      <c r="C1" s="47"/>
      <c r="D1" s="47"/>
      <c r="E1" s="47"/>
      <c r="F1" s="47"/>
      <c r="G1" s="47"/>
      <c r="H1" s="47"/>
      <c r="I1" s="47"/>
      <c r="J1" s="47"/>
      <c r="K1" s="47"/>
      <c r="L1" s="47"/>
      <c r="M1" s="47"/>
      <c r="N1" s="47"/>
      <c r="O1" s="47"/>
    </row>
    <row r="2" spans="1:15" ht="15" customHeight="1">
      <c r="A2" s="46"/>
      <c r="B2" s="270" t="s">
        <v>62</v>
      </c>
      <c r="C2" s="270"/>
      <c r="D2" s="270"/>
      <c r="E2" s="270"/>
      <c r="F2" s="270"/>
      <c r="G2" s="270"/>
      <c r="H2" s="270"/>
      <c r="I2" s="270"/>
      <c r="J2" s="270"/>
      <c r="K2" s="270"/>
      <c r="L2" s="270"/>
      <c r="M2" s="270"/>
      <c r="N2" s="270"/>
      <c r="O2" s="47"/>
    </row>
    <row r="3" spans="1:15" ht="15" customHeight="1">
      <c r="A3" s="46"/>
      <c r="B3" s="270"/>
      <c r="C3" s="270"/>
      <c r="D3" s="270"/>
      <c r="E3" s="270"/>
      <c r="F3" s="270"/>
      <c r="G3" s="270"/>
      <c r="H3" s="270"/>
      <c r="I3" s="270"/>
      <c r="J3" s="270"/>
      <c r="K3" s="270"/>
      <c r="L3" s="270"/>
      <c r="M3" s="270"/>
      <c r="N3" s="270"/>
      <c r="O3" s="47"/>
    </row>
    <row r="4" spans="1:15" ht="15" customHeight="1">
      <c r="A4" s="46"/>
      <c r="B4" s="270"/>
      <c r="C4" s="270"/>
      <c r="D4" s="270"/>
      <c r="E4" s="270"/>
      <c r="F4" s="270"/>
      <c r="G4" s="270"/>
      <c r="H4" s="270"/>
      <c r="I4" s="270"/>
      <c r="J4" s="270"/>
      <c r="K4" s="270"/>
      <c r="L4" s="270"/>
      <c r="M4" s="270"/>
      <c r="N4" s="270"/>
      <c r="O4" s="47"/>
    </row>
    <row r="5" spans="1:15" ht="12" customHeight="1">
      <c r="A5" s="46"/>
      <c r="B5" s="270"/>
      <c r="C5" s="270"/>
      <c r="D5" s="270"/>
      <c r="E5" s="270"/>
      <c r="F5" s="270"/>
      <c r="G5" s="270"/>
      <c r="H5" s="270"/>
      <c r="I5" s="270"/>
      <c r="J5" s="270"/>
      <c r="K5" s="270"/>
      <c r="L5" s="270"/>
      <c r="M5" s="270"/>
      <c r="N5" s="270"/>
      <c r="O5" s="47"/>
    </row>
    <row r="6" spans="1:15" ht="8.25" customHeight="1">
      <c r="A6" s="46"/>
      <c r="B6" s="270"/>
      <c r="C6" s="270"/>
      <c r="D6" s="270"/>
      <c r="E6" s="270"/>
      <c r="F6" s="270"/>
      <c r="G6" s="270"/>
      <c r="H6" s="270"/>
      <c r="I6" s="270"/>
      <c r="J6" s="270"/>
      <c r="K6" s="270"/>
      <c r="L6" s="270"/>
      <c r="M6" s="270"/>
      <c r="N6" s="270"/>
      <c r="O6" s="47"/>
    </row>
    <row r="7" spans="1:15" ht="10.5" customHeight="1">
      <c r="A7" s="46"/>
      <c r="B7" s="47"/>
      <c r="C7" s="47"/>
      <c r="D7" s="47"/>
      <c r="E7" s="47"/>
      <c r="F7" s="47"/>
      <c r="G7" s="47"/>
      <c r="H7" s="47"/>
      <c r="I7" s="47"/>
      <c r="J7" s="47"/>
      <c r="K7" s="47"/>
      <c r="L7" s="47"/>
      <c r="M7" s="47"/>
      <c r="N7" s="47"/>
      <c r="O7" s="46"/>
    </row>
    <row r="8" spans="1:15" ht="14.25">
      <c r="A8" s="46"/>
      <c r="B8" s="48"/>
      <c r="C8" s="48"/>
      <c r="D8" s="48"/>
      <c r="E8" s="48"/>
      <c r="F8" s="48"/>
      <c r="G8" s="48"/>
      <c r="H8" s="48"/>
      <c r="I8" s="48"/>
      <c r="J8" s="48"/>
      <c r="K8" s="48"/>
      <c r="L8" s="48"/>
      <c r="M8" s="48"/>
      <c r="N8" s="48"/>
      <c r="O8" s="47"/>
    </row>
    <row r="9" spans="1:15" ht="15">
      <c r="A9" s="46"/>
      <c r="B9" s="48"/>
      <c r="C9" s="254" t="s">
        <v>28</v>
      </c>
      <c r="D9" s="255"/>
      <c r="E9" s="255"/>
      <c r="F9" s="255"/>
      <c r="G9" s="255"/>
      <c r="H9" s="255"/>
      <c r="I9" s="255"/>
      <c r="J9" s="256"/>
      <c r="K9" s="48"/>
      <c r="L9" s="257" t="s">
        <v>63</v>
      </c>
      <c r="M9" s="258"/>
      <c r="N9" s="48"/>
      <c r="O9" s="47"/>
    </row>
    <row r="10" spans="1:15" ht="15" customHeight="1">
      <c r="A10" s="46"/>
      <c r="B10" s="48"/>
      <c r="C10" s="271" t="s">
        <v>64</v>
      </c>
      <c r="D10" s="272"/>
      <c r="E10" s="273"/>
      <c r="F10" s="280" t="str">
        <f>IF('TM-21 Inputs'!H9="","",'TM-21 Inputs'!H9)</f>
        <v/>
      </c>
      <c r="G10" s="281"/>
      <c r="H10" s="281"/>
      <c r="I10" s="281"/>
      <c r="J10" s="282"/>
      <c r="K10" s="48"/>
      <c r="L10" s="259" t="s">
        <v>65</v>
      </c>
      <c r="M10" s="260"/>
      <c r="N10" s="48"/>
      <c r="O10" s="47"/>
    </row>
    <row r="11" spans="1:15" ht="18.75">
      <c r="A11" s="46"/>
      <c r="B11" s="48"/>
      <c r="C11" s="274"/>
      <c r="D11" s="275"/>
      <c r="E11" s="276"/>
      <c r="F11" s="283"/>
      <c r="G11" s="284"/>
      <c r="H11" s="284"/>
      <c r="I11" s="284"/>
      <c r="J11" s="285"/>
      <c r="K11" s="48"/>
      <c r="L11" s="74" t="s">
        <v>66</v>
      </c>
      <c r="M11" s="75">
        <f>IF('TM-21 Projection'!L2="","-",'TM-21 Projection'!L2)</f>
        <v>55</v>
      </c>
      <c r="N11" s="48"/>
      <c r="O11" s="47"/>
    </row>
    <row r="12" spans="1:15" ht="28.5" customHeight="1">
      <c r="A12" s="46"/>
      <c r="B12" s="48"/>
      <c r="C12" s="277"/>
      <c r="D12" s="278"/>
      <c r="E12" s="279"/>
      <c r="F12" s="286"/>
      <c r="G12" s="287"/>
      <c r="H12" s="287"/>
      <c r="I12" s="287"/>
      <c r="J12" s="288"/>
      <c r="K12" s="48"/>
      <c r="L12" s="76" t="s">
        <v>67</v>
      </c>
      <c r="M12" s="77">
        <f>IF(OR('TM-21 Projection'!L3="",'TM-21 Projection'!L3="In situ case temp too high"),"-",'TM-21 Projection'!L3)</f>
        <v>328.15</v>
      </c>
      <c r="N12" s="48"/>
      <c r="O12" s="47"/>
    </row>
    <row r="13" spans="1:15" ht="18.75">
      <c r="A13" s="46"/>
      <c r="B13" s="48"/>
      <c r="C13" s="261" t="str">
        <f>IF('TM-21 Inputs'!I21="","",CONCATENATE("Test Condition 1 - ",'TM-21 Inputs'!I21,"⁰C Case Temp"))</f>
        <v>Test Condition 1 - 55⁰C Case Temp</v>
      </c>
      <c r="D13" s="262"/>
      <c r="E13" s="49"/>
      <c r="F13" s="261" t="str">
        <f>IF('TM-21 Inputs'!I22="","",CONCATENATE("Test Condition 2 - ",'TM-21 Inputs'!I22,"⁰C Case Temp"))</f>
        <v>Test Condition 2 - 85⁰C Case Temp</v>
      </c>
      <c r="G13" s="262"/>
      <c r="H13" s="49"/>
      <c r="I13" s="261" t="str">
        <f>IF('TM-21 Inputs'!I23="","",CONCATENATE("Test Condition 3 - ",'TM-21 Inputs'!I23,"⁰C Case Temp"))</f>
        <v>Test Condition 3 - 105⁰C Case Temp</v>
      </c>
      <c r="J13" s="262"/>
      <c r="K13" s="48"/>
      <c r="L13" s="78" t="s">
        <v>68</v>
      </c>
      <c r="M13" s="79">
        <f>IF('TM-21 Projection'!L4="","-",'TM-21 Projection'!L4)</f>
        <v>2.0531541575556211E-6</v>
      </c>
      <c r="N13" s="48"/>
      <c r="O13" s="47"/>
    </row>
    <row r="14" spans="1:15" s="44" customFormat="1" ht="18.75">
      <c r="A14" s="46"/>
      <c r="B14" s="50"/>
      <c r="C14" s="51" t="s">
        <v>69</v>
      </c>
      <c r="D14" s="52">
        <f>IF(OR('TM-21 Inputs'!$I$16="",C13=""),"-",'TM-21 Inputs'!$I$16)</f>
        <v>20</v>
      </c>
      <c r="E14" s="53"/>
      <c r="F14" s="51" t="str">
        <f>C14</f>
        <v>Sample size</v>
      </c>
      <c r="G14" s="52">
        <f>IF(OR('TM-21 Inputs'!$I$16="",F13=""),"-",'TM-21 Inputs'!$I$16)</f>
        <v>20</v>
      </c>
      <c r="H14" s="53"/>
      <c r="I14" s="51" t="str">
        <f>C14</f>
        <v>Sample size</v>
      </c>
      <c r="J14" s="52">
        <f>IF(OR('TM-21 Inputs'!$I$16="",I13=""),"-",'TM-21 Inputs'!$I$16)</f>
        <v>20</v>
      </c>
      <c r="K14" s="50"/>
      <c r="L14" s="80" t="s">
        <v>70</v>
      </c>
      <c r="M14" s="81">
        <f>IF('TM-21 Projection'!L5="","-",'TM-21 Projection'!L5)</f>
        <v>1.0021237337957221</v>
      </c>
      <c r="N14" s="50"/>
      <c r="O14" s="47"/>
    </row>
    <row r="15" spans="1:15" s="44" customFormat="1" ht="18.75">
      <c r="A15" s="46"/>
      <c r="B15" s="50"/>
      <c r="C15" s="51" t="s">
        <v>71</v>
      </c>
      <c r="D15" s="52">
        <f>IF(OR('TM-21 Inputs'!$I$17="",C13=""),"-",'TM-21 Inputs'!$I$17)</f>
        <v>0</v>
      </c>
      <c r="E15" s="53"/>
      <c r="F15" s="51" t="str">
        <f t="shared" ref="F15:F21" si="0">C15</f>
        <v>Number of failures</v>
      </c>
      <c r="G15" s="52">
        <f>IF(OR('TM-21 Inputs'!$I$17="",F13=""),"-",'TM-21 Inputs'!$I$17)</f>
        <v>0</v>
      </c>
      <c r="H15" s="53"/>
      <c r="I15" s="51" t="str">
        <f t="shared" ref="I15:I21" si="1">C15</f>
        <v>Number of failures</v>
      </c>
      <c r="J15" s="52">
        <f>IF(OR('TM-21 Inputs'!$I$17="",I13=""),"-",'TM-21 Inputs'!$I$17)</f>
        <v>0</v>
      </c>
      <c r="K15" s="50"/>
      <c r="L15" s="82" t="s">
        <v>72</v>
      </c>
      <c r="M15" s="83" t="str">
        <f>IF('TM-21 Projection'!L6="","-",'TM-21 Projection'!L6)</f>
        <v>-</v>
      </c>
      <c r="N15" s="50"/>
      <c r="O15" s="47"/>
    </row>
    <row r="16" spans="1:15" s="44" customFormat="1" ht="28.5">
      <c r="A16" s="46"/>
      <c r="B16" s="50"/>
      <c r="C16" s="51" t="s">
        <v>73</v>
      </c>
      <c r="D16" s="52">
        <f>IF(OR('TM-21 Inputs'!$I$20="",C13=""),"-",'TM-21 Inputs'!$I$20)</f>
        <v>60</v>
      </c>
      <c r="E16" s="53"/>
      <c r="F16" s="51" t="str">
        <f t="shared" si="0"/>
        <v>DUT drive current used in the test (mA)</v>
      </c>
      <c r="G16" s="52">
        <f>IF(OR('TM-21 Inputs'!$I$20="",F13=""),"-",'TM-21 Inputs'!$I$20)</f>
        <v>60</v>
      </c>
      <c r="H16" s="53"/>
      <c r="I16" s="51" t="str">
        <f t="shared" si="1"/>
        <v>DUT drive current used in the test (mA)</v>
      </c>
      <c r="J16" s="52">
        <f>IF(OR('TM-21 Inputs'!$I$20="",I13=""),"-",'TM-21 Inputs'!$I$20)</f>
        <v>60</v>
      </c>
      <c r="K16" s="50"/>
      <c r="L16" s="76" t="s">
        <v>74</v>
      </c>
      <c r="M16" s="77" t="str">
        <f>IF(OR('TM-21 Projection'!L7="",'TM-21 Projection'!L7="N/A"),"-",'TM-21 Projection'!L7)</f>
        <v>-</v>
      </c>
      <c r="N16" s="50"/>
      <c r="O16" s="47"/>
    </row>
    <row r="17" spans="1:15" s="44" customFormat="1" ht="18.75">
      <c r="A17" s="46"/>
      <c r="B17" s="50"/>
      <c r="C17" s="51" t="s">
        <v>75</v>
      </c>
      <c r="D17" s="54">
        <f>IF(OR('TM-21 Inputs'!I19="",C13=""),"-",'TM-21 Inputs'!I19)</f>
        <v>10000</v>
      </c>
      <c r="E17" s="53"/>
      <c r="F17" s="51" t="str">
        <f t="shared" si="0"/>
        <v>Test duration (hours)</v>
      </c>
      <c r="G17" s="55">
        <f>IF(OR('TM-21 Inputs'!I19="",F13=""),"-",'TM-21 Inputs'!I19)</f>
        <v>10000</v>
      </c>
      <c r="H17" s="53"/>
      <c r="I17" s="51" t="str">
        <f t="shared" si="1"/>
        <v>Test duration (hours)</v>
      </c>
      <c r="J17" s="55">
        <f>IF(OR('TM-21 Inputs'!I19="",I13=""),"-",'TM-21 Inputs'!I19)</f>
        <v>10000</v>
      </c>
      <c r="K17" s="50"/>
      <c r="L17" s="78" t="s">
        <v>76</v>
      </c>
      <c r="M17" s="79" t="str">
        <f>IF(OR('TM-21 Projection'!L8="",'TM-21 Projection'!L8="N/A"),"-",'TM-21 Projection'!L8)</f>
        <v>-</v>
      </c>
      <c r="N17" s="50"/>
      <c r="O17" s="47"/>
    </row>
    <row r="18" spans="1:15" s="44" customFormat="1" ht="36" customHeight="1">
      <c r="A18" s="46"/>
      <c r="B18" s="56"/>
      <c r="C18" s="57" t="s">
        <v>77</v>
      </c>
      <c r="D18" s="58" t="str">
        <f>IF(OR('TM-21 Inputs'!I19="",C13=""),"-",IF(SUM('Calculations - Case Temp 1'!E6:E25)=0,"-",CONCATENATE(TEXT(MIN('Calculations - Case Temp 1'!E6:E25),"#,##0")," - ",TEXT(MAX('Calculations - Case Temp 1'!E6:E25),"#,##0"))))</f>
        <v>5000,0 - 10000,0</v>
      </c>
      <c r="E18" s="59"/>
      <c r="F18" s="57" t="str">
        <f t="shared" si="0"/>
        <v>Test duration used for projection (hour to hour)</v>
      </c>
      <c r="G18" s="60" t="str">
        <f>IF(OR('TM-21 Inputs'!I19="",F13=""),"-",IF(SUM('Calculations - Case Temp 1'!E6:E25)=0,"-",CONCATENATE(TEXT(MIN('Calculations - Case Temp 1'!E6:E25),"#,##0")," - ",TEXT(MAX('Calculations - Case Temp 1'!E6:E25),"#,##0"))))</f>
        <v>5000,0 - 10000,0</v>
      </c>
      <c r="H18" s="59"/>
      <c r="I18" s="57" t="str">
        <f t="shared" si="1"/>
        <v>Test duration used for projection (hour to hour)</v>
      </c>
      <c r="J18" s="60" t="str">
        <f>IF(OR('TM-21 Inputs'!I19="",I13=""),"-",IF(SUM('Calculations - Case Temp 1'!E6:E25)=0,"-",CONCATENATE(TEXT(MIN('Calculations - Case Temp 1'!E6:E25),"#,##0")," - ",TEXT(MAX('Calculations - Case Temp 1'!E6:E25),"#,##0"))))</f>
        <v>5000,0 - 10000,0</v>
      </c>
      <c r="K18" s="50"/>
      <c r="L18" s="84" t="s">
        <v>78</v>
      </c>
      <c r="M18" s="85" t="str">
        <f>IF(OR('TM-21 Projection'!L9="",'TM-21 Projection'!L9="N/A"),"-",'TM-21 Projection'!L9)</f>
        <v>-</v>
      </c>
      <c r="N18" s="50"/>
      <c r="O18" s="47"/>
    </row>
    <row r="19" spans="1:15" s="44" customFormat="1" ht="28.5">
      <c r="A19" s="46"/>
      <c r="B19" s="50"/>
      <c r="C19" s="51" t="s">
        <v>79</v>
      </c>
      <c r="D19" s="61">
        <f>IF('Product Inputs'!G6="","-",'Product Inputs'!G6)</f>
        <v>55</v>
      </c>
      <c r="E19" s="53"/>
      <c r="F19" s="51" t="str">
        <f t="shared" si="0"/>
        <v>Tested case temperature (⁰C)</v>
      </c>
      <c r="G19" s="61">
        <f>IF('Product Inputs'!J6="","-",'Product Inputs'!J6)</f>
        <v>85</v>
      </c>
      <c r="H19" s="53"/>
      <c r="I19" s="51" t="str">
        <f t="shared" si="1"/>
        <v>Tested case temperature (⁰C)</v>
      </c>
      <c r="J19" s="61">
        <f>IF('Product Inputs'!M6="","-",'Product Inputs'!M6)</f>
        <v>105</v>
      </c>
      <c r="K19" s="50"/>
      <c r="L19" s="82" t="s">
        <v>80</v>
      </c>
      <c r="M19" s="86" t="str">
        <f>IF(OR(M13&lt;0,M17&lt;0),"-",IF('TM-21 Projection'!L10="","-",'TM-21 Projection'!L10))</f>
        <v>-</v>
      </c>
      <c r="N19" s="50"/>
      <c r="O19" s="47"/>
    </row>
    <row r="20" spans="1:15" s="44" customFormat="1" ht="14.25">
      <c r="A20" s="46"/>
      <c r="B20" s="50"/>
      <c r="C20" s="51" t="s">
        <v>81</v>
      </c>
      <c r="D20" s="62">
        <f>IF('Product Inputs'!G8="","-",'Product Inputs'!G8)</f>
        <v>2.0531541575556211E-6</v>
      </c>
      <c r="E20" s="53"/>
      <c r="F20" s="51" t="str">
        <f t="shared" si="0"/>
        <v>α</v>
      </c>
      <c r="G20" s="62">
        <f>IF('Product Inputs'!J8="","-",'Product Inputs'!J8)</f>
        <v>2.7768230410863735E-6</v>
      </c>
      <c r="H20" s="53"/>
      <c r="I20" s="51" t="str">
        <f t="shared" si="1"/>
        <v>α</v>
      </c>
      <c r="J20" s="62">
        <f>IF('Product Inputs'!M8="","-",'Product Inputs'!M8)</f>
        <v>3.4217359071846224E-6</v>
      </c>
      <c r="K20" s="50"/>
      <c r="L20" s="76" t="s">
        <v>41</v>
      </c>
      <c r="M20" s="79" t="str">
        <f>IF(OR(M13&lt;0,M17&lt;0),"-",IF('TM-21 Projection'!L11="","-",'TM-21 Projection'!L11))</f>
        <v>-</v>
      </c>
      <c r="N20" s="50"/>
      <c r="O20" s="47"/>
    </row>
    <row r="21" spans="1:15" s="44" customFormat="1" ht="18.75">
      <c r="A21" s="46"/>
      <c r="B21" s="50"/>
      <c r="C21" s="63" t="s">
        <v>82</v>
      </c>
      <c r="D21" s="64">
        <f>IF('Product Inputs'!G9="","-",'Product Inputs'!G9)</f>
        <v>1.0021237337957221</v>
      </c>
      <c r="E21" s="53"/>
      <c r="F21" s="63" t="str">
        <f t="shared" si="0"/>
        <v>B</v>
      </c>
      <c r="G21" s="64">
        <f>IF('Product Inputs'!J9="","-",'Product Inputs'!J9)</f>
        <v>1.0003060801411601</v>
      </c>
      <c r="H21" s="53"/>
      <c r="I21" s="63" t="str">
        <f t="shared" si="1"/>
        <v>B</v>
      </c>
      <c r="J21" s="64">
        <f>IF('Product Inputs'!M9="","-",'Product Inputs'!M9)</f>
        <v>1.0007385738442012</v>
      </c>
      <c r="K21" s="50"/>
      <c r="L21" s="84" t="s">
        <v>83</v>
      </c>
      <c r="M21" s="85">
        <f>IF('TM-21 Projection'!L12="","-",'TM-21 Projection'!L12)</f>
        <v>1.0021237337957221</v>
      </c>
      <c r="N21" s="50"/>
      <c r="O21" s="47"/>
    </row>
    <row r="22" spans="1:15" s="44" customFormat="1" ht="28.5">
      <c r="A22" s="46"/>
      <c r="B22" s="50"/>
      <c r="C22" s="65" t="str">
        <f>IF('TM-21 Inputs'!I19="","Calculated L70(Dk) (hours)",CONCATENATE("Calculated L70(",ROUND('TM-21 Inputs'!I19/1000,0),"k) (hours)"))</f>
        <v>Calculated L70(10k) (hours)</v>
      </c>
      <c r="D22" s="66">
        <f>IF('Product Inputs'!G10="","-",ROUND('Product Inputs'!G10,-3))</f>
        <v>52000</v>
      </c>
      <c r="E22" s="53"/>
      <c r="F22" s="65" t="str">
        <f>IF('TM-21 Inputs'!I19="","Calculated L70(Dk) (hours)",CONCATENATE("Calculated L70(",ROUND('TM-21 Inputs'!I19/1000,0),"k) (hours)"))</f>
        <v>Calculated L70(10k) (hours)</v>
      </c>
      <c r="G22" s="66">
        <f>IF('Product Inputs'!J10="","-",ROUND('Product Inputs'!J10,-3))</f>
        <v>38000</v>
      </c>
      <c r="H22" s="53"/>
      <c r="I22" s="65" t="str">
        <f>IF('TM-21 Inputs'!I19="","Calculated L70(Dk) (hours)",CONCATENATE("Calculated L70(",ROUND('TM-21 Inputs'!I19/1000,0),"k) (hours)"))</f>
        <v>Calculated L70(10k) (hours)</v>
      </c>
      <c r="J22" s="66">
        <f>IF('Product Inputs'!M10="","-",ROUND('Product Inputs'!M10,-3))</f>
        <v>31000</v>
      </c>
      <c r="K22" s="50"/>
      <c r="L22" s="74" t="s">
        <v>84</v>
      </c>
      <c r="M22" s="75">
        <f>IF('TM-21 Projection'!L13="","-",'TM-21 Projection'!L13)</f>
        <v>39.199999999999989</v>
      </c>
      <c r="N22" s="50"/>
      <c r="O22" s="47"/>
    </row>
    <row r="23" spans="1:15" s="44" customFormat="1" ht="18.75">
      <c r="A23" s="46"/>
      <c r="B23" s="50"/>
      <c r="C23" s="67" t="str">
        <f>IF('TM-21 Inputs'!I19="","Reported L70(Dk) (hours)",CONCATENATE("Reported L70(",ROUND('TM-21 Inputs'!I19/1000,0),"k) (hours)"))</f>
        <v>Reported L70(10k) (hours)</v>
      </c>
      <c r="D23" s="68">
        <f>IF('Product Inputs'!G11="","-",'Product Inputs'!G11)</f>
        <v>52000</v>
      </c>
      <c r="E23" s="53"/>
      <c r="F23" s="67" t="str">
        <f>IF('TM-21 Inputs'!I19="","Reported L70(Dk) (hours)",CONCATENATE("Reported L70(",ROUND('TM-21 Inputs'!I19/1000,0),"k) (hours)"))</f>
        <v>Reported L70(10k) (hours)</v>
      </c>
      <c r="G23" s="68">
        <f>IF('Product Inputs'!J11="","-",'Product Inputs'!J11)</f>
        <v>38000</v>
      </c>
      <c r="H23" s="53"/>
      <c r="I23" s="67" t="str">
        <f>IF('TM-21 Inputs'!I19="","Reported L70(Dk) (hours)",CONCATENATE("Reported L70(",ROUND('TM-21 Inputs'!I19/1000,0),"k) (hours)"))</f>
        <v>Reported L70(10k) (hours)</v>
      </c>
      <c r="J23" s="68">
        <f>IF('Product Inputs'!M11="","-",'Product Inputs'!M11)</f>
        <v>31000</v>
      </c>
      <c r="K23" s="50"/>
      <c r="L23" s="76" t="s">
        <v>85</v>
      </c>
      <c r="M23" s="87">
        <f>IF('TM-21 Projection'!L14="","-",'TM-21 Projection'!L14)</f>
        <v>312.34999999999997</v>
      </c>
      <c r="N23" s="50"/>
      <c r="O23" s="47"/>
    </row>
    <row r="24" spans="1:15" s="44" customFormat="1" ht="18.75">
      <c r="A24" s="46"/>
      <c r="B24" s="50"/>
      <c r="C24" s="69"/>
      <c r="D24" s="69"/>
      <c r="E24" s="70"/>
      <c r="F24" s="69"/>
      <c r="G24" s="71"/>
      <c r="H24" s="70"/>
      <c r="I24" s="69"/>
      <c r="J24" s="71"/>
      <c r="K24" s="50"/>
      <c r="L24" s="88" t="s">
        <v>86</v>
      </c>
      <c r="M24" s="89">
        <f>IF(OR(M13&lt;0,M17&lt;0),"-",IF('TM-21 Projection'!L15="","-",'TM-21 Projection'!L15))</f>
        <v>2.0531541575556211E-6</v>
      </c>
      <c r="N24" s="50"/>
      <c r="O24" s="47"/>
    </row>
    <row r="25" spans="1:15" s="44" customFormat="1" ht="28.5" customHeight="1">
      <c r="A25" s="46"/>
      <c r="B25" s="50"/>
      <c r="C25" s="263" t="str">
        <f>IF(OR(M13&lt;0,M17&lt;0),"One or more of the tests resulted in negative L70 values. Please refer to sections 5.2.5 and 6.4 of IES TM-21-11 for instructions on how to estimate the reported lumen maintenance life (L70).","")</f>
        <v/>
      </c>
      <c r="D25" s="263"/>
      <c r="E25" s="263"/>
      <c r="F25" s="263"/>
      <c r="G25" s="263"/>
      <c r="H25" s="263"/>
      <c r="I25" s="263"/>
      <c r="J25" s="263"/>
      <c r="K25" s="50"/>
      <c r="L25" s="90" t="str">
        <f>IF(OR('TM-21 Inputs'!I19="",'TM-21 Inputs'!I34=""),"Projected L70(Dk) (hours)",CONCATENATE("Projected L70(",ROUND('TM-21 Inputs'!I19/1000,0),"k) at ",'TM-21 Inputs'!I34,"⁰C (hours)"))</f>
        <v>Projected L70(10k) at 39,2⁰C (hours)</v>
      </c>
      <c r="M25" s="91">
        <f>IF('TM-21 Inputs'!I42="","-",ROUND('TM-21 Inputs'!I42,-3))</f>
        <v>52000</v>
      </c>
      <c r="N25" s="50"/>
      <c r="O25" s="47"/>
    </row>
    <row r="26" spans="1:15" ht="30.75" customHeight="1">
      <c r="A26" s="46"/>
      <c r="B26" s="48"/>
      <c r="C26" s="48"/>
      <c r="D26" s="48"/>
      <c r="E26" s="48"/>
      <c r="F26" s="48"/>
      <c r="G26" s="48"/>
      <c r="H26" s="48"/>
      <c r="I26" s="48"/>
      <c r="J26" s="48"/>
      <c r="K26" s="48"/>
      <c r="L26" s="92" t="str">
        <f>IF(OR('TM-21 Inputs'!I19="",'TM-21 Inputs'!I34=""),"Reported L70(Dk) (hours)",CONCATENATE("Reported L70(",ROUND('TM-21 Inputs'!I19/1000,0),"k) at ",'TM-21 Inputs'!I34,"⁰C (hours)"))</f>
        <v>Reported L70(10k) at 39,2⁰C (hours)</v>
      </c>
      <c r="M26" s="93">
        <f>IF('TM-21 Inputs'!I43="","-",'TM-21 Inputs'!I43)</f>
        <v>52000</v>
      </c>
      <c r="N26" s="48"/>
      <c r="O26" s="47"/>
    </row>
    <row r="27" spans="1:15" ht="9" customHeight="1">
      <c r="A27" s="46"/>
      <c r="B27" s="48"/>
      <c r="C27" s="48"/>
      <c r="D27" s="48"/>
      <c r="E27" s="48"/>
      <c r="F27" s="48"/>
      <c r="G27" s="48"/>
      <c r="H27" s="48"/>
      <c r="I27" s="48"/>
      <c r="J27" s="48"/>
      <c r="K27" s="48"/>
      <c r="L27" s="48"/>
      <c r="M27" s="48"/>
      <c r="N27" s="48"/>
      <c r="O27" s="47"/>
    </row>
    <row r="28" spans="1:15" ht="11.25" customHeight="1">
      <c r="A28" s="46"/>
      <c r="B28" s="46"/>
      <c r="C28" s="46"/>
      <c r="D28" s="46"/>
      <c r="E28" s="46"/>
      <c r="F28" s="46"/>
      <c r="G28" s="46"/>
      <c r="H28" s="46"/>
      <c r="I28" s="46"/>
      <c r="J28" s="46"/>
      <c r="K28" s="46"/>
      <c r="L28" s="46"/>
      <c r="M28" s="46"/>
      <c r="N28" s="46"/>
      <c r="O28" s="46"/>
    </row>
    <row r="29" spans="1:15" ht="14.25">
      <c r="C29" s="72"/>
    </row>
    <row r="30" spans="1:15" ht="30.75" customHeight="1">
      <c r="D30" s="73"/>
      <c r="F30" s="264" t="s">
        <v>87</v>
      </c>
      <c r="G30" s="265"/>
      <c r="H30" s="266"/>
      <c r="I30" s="267"/>
      <c r="J30" s="289" t="s">
        <v>88</v>
      </c>
      <c r="K30" s="290"/>
      <c r="L30" s="290"/>
      <c r="M30" s="291"/>
    </row>
    <row r="31" spans="1:15" ht="31.5" customHeight="1">
      <c r="F31" s="264" t="s">
        <v>89</v>
      </c>
      <c r="G31" s="265"/>
      <c r="H31" s="266"/>
      <c r="I31" s="267"/>
      <c r="J31" s="292"/>
      <c r="K31" s="293"/>
      <c r="L31" s="293"/>
      <c r="M31" s="294"/>
    </row>
    <row r="32" spans="1:15" ht="14.25">
      <c r="F32" s="268" t="s">
        <v>90</v>
      </c>
      <c r="G32" s="269"/>
      <c r="H32" s="266"/>
      <c r="I32" s="267"/>
      <c r="J32" s="295"/>
      <c r="K32" s="296"/>
      <c r="L32" s="296"/>
      <c r="M32" s="297"/>
    </row>
  </sheetData>
  <sheetProtection password="C696" sheet="1" objects="1" scenarios="1"/>
  <mergeCells count="14">
    <mergeCell ref="C25:J25"/>
    <mergeCell ref="F30:I30"/>
    <mergeCell ref="F31:I31"/>
    <mergeCell ref="F32:I32"/>
    <mergeCell ref="B2:N6"/>
    <mergeCell ref="C10:E12"/>
    <mergeCell ref="F10:J12"/>
    <mergeCell ref="J30:M32"/>
    <mergeCell ref="C9:J9"/>
    <mergeCell ref="L9:M9"/>
    <mergeCell ref="L10:M10"/>
    <mergeCell ref="C13:D13"/>
    <mergeCell ref="F13:G13"/>
    <mergeCell ref="I13:J13"/>
  </mergeCells>
  <pageMargins left="0.69930555555555596" right="0.69930555555555596" top="0.75" bottom="0.75" header="0.3" footer="0.3"/>
  <pageSetup scale="65"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
  <sheetViews>
    <sheetView workbookViewId="0">
      <selection activeCell="M34" sqref="M34"/>
    </sheetView>
  </sheetViews>
  <sheetFormatPr defaultColWidth="9" defaultRowHeight="13.5"/>
  <sheetData/>
  <sheetProtection password="C696" sheet="1" objects="1" scenarios="1"/>
  <pageMargins left="0.69930555555555596" right="0.69930555555555596"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D4:M34"/>
  <sheetViews>
    <sheetView topLeftCell="B2" workbookViewId="0">
      <selection activeCell="E17" sqref="E17"/>
    </sheetView>
  </sheetViews>
  <sheetFormatPr defaultColWidth="9.125" defaultRowHeight="13.5"/>
  <cols>
    <col min="1" max="1" width="17" style="1" customWidth="1"/>
    <col min="2" max="3" width="9.125" style="1"/>
    <col min="4" max="4" width="6.25" style="1" customWidth="1"/>
    <col min="5" max="5" width="12.875" style="1" customWidth="1"/>
    <col min="6" max="6" width="17.875" style="1" customWidth="1"/>
    <col min="7" max="7" width="27.625" style="1" customWidth="1"/>
    <col min="8" max="8" width="12.625" style="1" customWidth="1"/>
    <col min="9" max="9" width="11.125" style="1" customWidth="1"/>
    <col min="10" max="11" width="9.125" style="1"/>
    <col min="12" max="12" width="20.625" style="1" customWidth="1"/>
    <col min="13" max="16384" width="9.125" style="1"/>
  </cols>
  <sheetData>
    <row r="4" spans="4:13" ht="15" customHeight="1">
      <c r="D4" s="298" t="str">
        <f>IF('TM-21 Inputs'!I21="","Insert Case Temperature 1",CONCATENATE("Test Data for ",'TM-21 Inputs'!I21,"⁰C Case Temperature"))</f>
        <v>Test Data for 55⁰C Case Temperature</v>
      </c>
      <c r="E4" s="299"/>
      <c r="F4" s="299"/>
      <c r="G4" s="299"/>
      <c r="H4" s="299"/>
      <c r="I4" s="299"/>
      <c r="J4" s="300"/>
    </row>
    <row r="5" spans="4:13" ht="60" customHeight="1">
      <c r="D5" s="2" t="s">
        <v>91</v>
      </c>
      <c r="E5" s="3" t="s">
        <v>92</v>
      </c>
      <c r="F5" s="4" t="s">
        <v>93</v>
      </c>
      <c r="G5" s="4" t="s">
        <v>94</v>
      </c>
      <c r="H5" s="4" t="s">
        <v>95</v>
      </c>
      <c r="I5" s="4" t="s">
        <v>96</v>
      </c>
      <c r="J5" s="34" t="s">
        <v>97</v>
      </c>
    </row>
    <row r="6" spans="4:13">
      <c r="D6" s="5" t="str">
        <f>IF(E6="","",'TM-21 Inputs'!#REF!)</f>
        <v/>
      </c>
      <c r="E6" s="11" t="str">
        <f>IF(OR('TM-21 Inputs'!$I$19="",'TM-21 Inputs'!$I$21=""),"-",IF(OR('TM-21 Inputs'!K10="",'TM-21 Inputs'!L10=""),"",IF(OR(AND('TM-21 Inputs'!$I$19&gt;=6000,'TM-21 Inputs'!$I$19&lt;=10000,'TM-21 Inputs'!K10&gt;='TM-21 Inputs'!$I$19-5000),AND('TM-21 Inputs'!$I$19&gt;10000,OR('TM-21 Inputs'!K10&gt;=0.5*'TM-21 Inputs'!$I$19,'TM-21 Inputs'!K10=SMALL('TM-21 Inputs'!$K$10:$K$29,COUNTIF('TM-21 Inputs'!$K$10:$K$29,"&lt;"&amp;(0.5*'TM-21 Inputs'!$I$19)+1))))),'TM-21 Inputs'!K10,"")))</f>
        <v/>
      </c>
      <c r="F6" s="7" t="str">
        <f>IF(E6="","",'TM-21 Inputs'!L10)</f>
        <v/>
      </c>
      <c r="G6" s="8" t="str">
        <f>IF(F6="","",LN(F6))</f>
        <v/>
      </c>
      <c r="H6" s="9" t="str">
        <f>IF(E6="","",(G6*E6))</f>
        <v/>
      </c>
      <c r="I6" s="35" t="str">
        <f>IF(E6="","",E6^2)</f>
        <v/>
      </c>
      <c r="J6" s="36" t="str">
        <f>IF(E6="","",E6*G6)</f>
        <v/>
      </c>
      <c r="M6" s="43"/>
    </row>
    <row r="7" spans="4:13">
      <c r="D7" s="10" t="str">
        <f>IF(E7="","",'TM-21 Inputs'!#REF!)</f>
        <v/>
      </c>
      <c r="E7" s="11" t="str">
        <f>IF(OR('TM-21 Inputs'!$I$19="",'TM-21 Inputs'!$I$21=""),"-",IF(OR('TM-21 Inputs'!K11="",'TM-21 Inputs'!L11=""),"",IF(OR(AND('TM-21 Inputs'!$I$19&gt;=6000,'TM-21 Inputs'!$I$19&lt;=10000,'TM-21 Inputs'!K11&gt;='TM-21 Inputs'!$I$19-5000),AND('TM-21 Inputs'!$I$19&gt;10000,OR('TM-21 Inputs'!K11&gt;=0.5*'TM-21 Inputs'!$I$19,'TM-21 Inputs'!K11=SMALL('TM-21 Inputs'!$K$10:$K$29,COUNTIF('TM-21 Inputs'!$K$10:$K$29,"&lt;"&amp;(0.5*'TM-21 Inputs'!$I$19)+1))))),'TM-21 Inputs'!K11,"")))</f>
        <v/>
      </c>
      <c r="F7" s="12" t="str">
        <f>IF(E7="","",'TM-21 Inputs'!L11)</f>
        <v/>
      </c>
      <c r="G7" s="13" t="str">
        <f t="shared" ref="G7:G25" si="0">IF(F7="","",LN(F7))</f>
        <v/>
      </c>
      <c r="H7" s="14" t="str">
        <f t="shared" ref="H7:H25" si="1">IF(E7="","",(G7*E7))</f>
        <v/>
      </c>
      <c r="I7" s="37" t="str">
        <f t="shared" ref="I7:I25" si="2">IF(E7="","",E7^2)</f>
        <v/>
      </c>
      <c r="J7" s="38" t="str">
        <f t="shared" ref="J7:J25" si="3">IF(E7="","",E7*G7)</f>
        <v/>
      </c>
    </row>
    <row r="8" spans="4:13">
      <c r="D8" s="10" t="str">
        <f>IF(E8="","",'TM-21 Inputs'!#REF!)</f>
        <v/>
      </c>
      <c r="E8" s="11" t="str">
        <f>IF(OR('TM-21 Inputs'!$I$19="",'TM-21 Inputs'!$I$21=""),"-",IF(OR('TM-21 Inputs'!K12="",'TM-21 Inputs'!L12=""),"",IF(OR(AND('TM-21 Inputs'!$I$19&gt;=6000,'TM-21 Inputs'!$I$19&lt;=10000,'TM-21 Inputs'!K12&gt;='TM-21 Inputs'!$I$19-5000),AND('TM-21 Inputs'!$I$19&gt;10000,OR('TM-21 Inputs'!K12&gt;=0.5*'TM-21 Inputs'!$I$19,'TM-21 Inputs'!K12=SMALL('TM-21 Inputs'!$K$10:$K$29,COUNTIF('TM-21 Inputs'!$K$10:$K$29,"&lt;"&amp;(0.5*'TM-21 Inputs'!$I$19)+1))))),'TM-21 Inputs'!K12,"")))</f>
        <v/>
      </c>
      <c r="F8" s="12" t="str">
        <f>IF(E8="","",'TM-21 Inputs'!L12)</f>
        <v/>
      </c>
      <c r="G8" s="13" t="str">
        <f t="shared" si="0"/>
        <v/>
      </c>
      <c r="H8" s="14" t="str">
        <f t="shared" si="1"/>
        <v/>
      </c>
      <c r="I8" s="37" t="str">
        <f t="shared" si="2"/>
        <v/>
      </c>
      <c r="J8" s="38" t="str">
        <f t="shared" si="3"/>
        <v/>
      </c>
    </row>
    <row r="9" spans="4:13">
      <c r="D9" s="10" t="str">
        <f>IF(E9="","",'TM-21 Inputs'!#REF!)</f>
        <v/>
      </c>
      <c r="E9" s="11" t="str">
        <f>IF(OR('TM-21 Inputs'!$I$19="",'TM-21 Inputs'!$I$21=""),"-",IF(OR('TM-21 Inputs'!K13="",'TM-21 Inputs'!L13=""),"",IF(OR(AND('TM-21 Inputs'!$I$19&gt;=6000,'TM-21 Inputs'!$I$19&lt;=10000,'TM-21 Inputs'!K13&gt;='TM-21 Inputs'!$I$19-5000),AND('TM-21 Inputs'!$I$19&gt;10000,OR('TM-21 Inputs'!K13&gt;=0.5*'TM-21 Inputs'!$I$19,'TM-21 Inputs'!K13=SMALL('TM-21 Inputs'!$K$10:$K$29,COUNTIF('TM-21 Inputs'!$K$10:$K$29,"&lt;"&amp;(0.5*'TM-21 Inputs'!$I$19)+1))))),'TM-21 Inputs'!K13,"")))</f>
        <v/>
      </c>
      <c r="F9" s="12" t="str">
        <f>IF(E9="","",'TM-21 Inputs'!L13)</f>
        <v/>
      </c>
      <c r="G9" s="13" t="str">
        <f t="shared" si="0"/>
        <v/>
      </c>
      <c r="H9" s="14" t="str">
        <f t="shared" si="1"/>
        <v/>
      </c>
      <c r="I9" s="37" t="str">
        <f t="shared" si="2"/>
        <v/>
      </c>
      <c r="J9" s="38" t="str">
        <f t="shared" si="3"/>
        <v/>
      </c>
    </row>
    <row r="10" spans="4:13">
      <c r="D10" s="10" t="e">
        <f>IF(E10="","",'TM-21 Inputs'!#REF!)</f>
        <v>#REF!</v>
      </c>
      <c r="E10" s="11">
        <f>IF(OR('TM-21 Inputs'!$I$19="",'TM-21 Inputs'!$I$21=""),"-",IF(OR('TM-21 Inputs'!K14="",'TM-21 Inputs'!L14=""),"",IF(OR(AND('TM-21 Inputs'!$I$19&gt;=6000,'TM-21 Inputs'!$I$19&lt;=10000,'TM-21 Inputs'!K14&gt;='TM-21 Inputs'!$I$19-5000),AND('TM-21 Inputs'!$I$19&gt;10000,OR('TM-21 Inputs'!K14&gt;=0.5*'TM-21 Inputs'!$I$19,'TM-21 Inputs'!K14=SMALL('TM-21 Inputs'!$K$10:$K$29,COUNTIF('TM-21 Inputs'!$K$10:$K$29,"&lt;"&amp;(0.5*'TM-21 Inputs'!$I$19)+1))))),'TM-21 Inputs'!K14,"")))</f>
        <v>5000</v>
      </c>
      <c r="F10" s="12">
        <f>IF(E10="","",'TM-21 Inputs'!L14)</f>
        <v>0.99160000000000004</v>
      </c>
      <c r="G10" s="13">
        <f t="shared" si="0"/>
        <v>-8.4354788211015753E-3</v>
      </c>
      <c r="H10" s="14">
        <f t="shared" si="1"/>
        <v>-42.177394105507879</v>
      </c>
      <c r="I10" s="37">
        <f t="shared" si="2"/>
        <v>25000000</v>
      </c>
      <c r="J10" s="38">
        <f t="shared" si="3"/>
        <v>-42.177394105507879</v>
      </c>
    </row>
    <row r="11" spans="4:13">
      <c r="D11" s="10" t="e">
        <f>IF(E11="","",'TM-21 Inputs'!#REF!)</f>
        <v>#REF!</v>
      </c>
      <c r="E11" s="11">
        <f>IF(OR('TM-21 Inputs'!$I$19="",'TM-21 Inputs'!$I$21=""),"-",IF(OR('TM-21 Inputs'!K15="",'TM-21 Inputs'!L15=""),"",IF(OR(AND('TM-21 Inputs'!$I$19&gt;=6000,'TM-21 Inputs'!$I$19&lt;=10000,'TM-21 Inputs'!K15&gt;='TM-21 Inputs'!$I$19-5000),AND('TM-21 Inputs'!$I$19&gt;10000,OR('TM-21 Inputs'!K15&gt;=0.5*'TM-21 Inputs'!$I$19,'TM-21 Inputs'!K15=SMALL('TM-21 Inputs'!$K$10:$K$29,COUNTIF('TM-21 Inputs'!$K$10:$K$29,"&lt;"&amp;(0.5*'TM-21 Inputs'!$I$19)+1))))),'TM-21 Inputs'!K15,"")))</f>
        <v>6000</v>
      </c>
      <c r="F11" s="12">
        <f>IF(E11="","",'TM-21 Inputs'!L15)</f>
        <v>0.9899</v>
      </c>
      <c r="G11" s="13">
        <f t="shared" si="0"/>
        <v>-1.0151351056375355E-2</v>
      </c>
      <c r="H11" s="14">
        <f t="shared" si="1"/>
        <v>-60.908106338252132</v>
      </c>
      <c r="I11" s="37">
        <f t="shared" si="2"/>
        <v>36000000</v>
      </c>
      <c r="J11" s="38">
        <f t="shared" si="3"/>
        <v>-60.908106338252132</v>
      </c>
    </row>
    <row r="12" spans="4:13">
      <c r="D12" s="10" t="e">
        <f>IF(E12="","",'TM-21 Inputs'!#REF!)</f>
        <v>#REF!</v>
      </c>
      <c r="E12" s="11">
        <f>IF(OR('TM-21 Inputs'!$I$19="",'TM-21 Inputs'!$I$21=""),"-",IF(OR('TM-21 Inputs'!K16="",'TM-21 Inputs'!L16=""),"",IF(OR(AND('TM-21 Inputs'!$I$19&gt;=6000,'TM-21 Inputs'!$I$19&lt;=10000,'TM-21 Inputs'!K16&gt;='TM-21 Inputs'!$I$19-5000),AND('TM-21 Inputs'!$I$19&gt;10000,OR('TM-21 Inputs'!K16&gt;=0.5*'TM-21 Inputs'!$I$19,'TM-21 Inputs'!K16=SMALL('TM-21 Inputs'!$K$10:$K$29,COUNTIF('TM-21 Inputs'!$K$10:$K$29,"&lt;"&amp;(0.5*'TM-21 Inputs'!$I$19)+1))))),'TM-21 Inputs'!K16,"")))</f>
        <v>7000</v>
      </c>
      <c r="F12" s="12">
        <f>IF(E12="","",'TM-21 Inputs'!L16)</f>
        <v>0.98809999999999998</v>
      </c>
      <c r="G12" s="13">
        <f t="shared" si="0"/>
        <v>-1.1971371781219958E-2</v>
      </c>
      <c r="H12" s="14">
        <f t="shared" si="1"/>
        <v>-83.799602468539703</v>
      </c>
      <c r="I12" s="37">
        <f t="shared" si="2"/>
        <v>49000000</v>
      </c>
      <c r="J12" s="38">
        <f t="shared" si="3"/>
        <v>-83.799602468539703</v>
      </c>
    </row>
    <row r="13" spans="4:13">
      <c r="D13" s="10" t="e">
        <f>IF(E13="","",'TM-21 Inputs'!#REF!)</f>
        <v>#REF!</v>
      </c>
      <c r="E13" s="11">
        <f>IF(OR('TM-21 Inputs'!$I$19="",'TM-21 Inputs'!$I$21=""),"-",IF(OR('TM-21 Inputs'!K17="",'TM-21 Inputs'!L17=""),"",IF(OR(AND('TM-21 Inputs'!$I$19&gt;=6000,'TM-21 Inputs'!$I$19&lt;=10000,'TM-21 Inputs'!K17&gt;='TM-21 Inputs'!$I$19-5000),AND('TM-21 Inputs'!$I$19&gt;10000,OR('TM-21 Inputs'!K17&gt;=0.5*'TM-21 Inputs'!$I$19,'TM-21 Inputs'!K17=SMALL('TM-21 Inputs'!$K$10:$K$29,COUNTIF('TM-21 Inputs'!$K$10:$K$29,"&lt;"&amp;(0.5*'TM-21 Inputs'!$I$19)+1))))),'TM-21 Inputs'!K17,"")))</f>
        <v>8000</v>
      </c>
      <c r="F13" s="12">
        <f>IF(E13="","",'TM-21 Inputs'!L17)</f>
        <v>0.98599999999999999</v>
      </c>
      <c r="G13" s="13">
        <f t="shared" si="0"/>
        <v>-1.4098924379501648E-2</v>
      </c>
      <c r="H13" s="14">
        <f t="shared" si="1"/>
        <v>-112.79139503601318</v>
      </c>
      <c r="I13" s="37">
        <f t="shared" si="2"/>
        <v>64000000</v>
      </c>
      <c r="J13" s="38">
        <f t="shared" si="3"/>
        <v>-112.79139503601318</v>
      </c>
    </row>
    <row r="14" spans="4:13">
      <c r="D14" s="10" t="e">
        <f>IF(E14="","",'TM-21 Inputs'!#REF!)</f>
        <v>#REF!</v>
      </c>
      <c r="E14" s="11">
        <f>IF(OR('TM-21 Inputs'!$I$19="",'TM-21 Inputs'!$I$21=""),"-",IF(OR('TM-21 Inputs'!K18="",'TM-21 Inputs'!L18=""),"",IF(OR(AND('TM-21 Inputs'!$I$19&gt;=6000,'TM-21 Inputs'!$I$19&lt;=10000,'TM-21 Inputs'!K18&gt;='TM-21 Inputs'!$I$19-5000),AND('TM-21 Inputs'!$I$19&gt;10000,OR('TM-21 Inputs'!K18&gt;=0.5*'TM-21 Inputs'!$I$19,'TM-21 Inputs'!K18=SMALL('TM-21 Inputs'!$K$10:$K$29,COUNTIF('TM-21 Inputs'!$K$10:$K$29,"&lt;"&amp;(0.5*'TM-21 Inputs'!$I$19)+1))))),'TM-21 Inputs'!K18,"")))</f>
        <v>9000</v>
      </c>
      <c r="F14" s="12">
        <f>IF(E14="","",'TM-21 Inputs'!L18)</f>
        <v>0.98380000000000001</v>
      </c>
      <c r="G14" s="13">
        <f t="shared" si="0"/>
        <v>-1.633265462089761E-2</v>
      </c>
      <c r="H14" s="14">
        <f t="shared" si="1"/>
        <v>-146.9938915880785</v>
      </c>
      <c r="I14" s="37">
        <f t="shared" si="2"/>
        <v>81000000</v>
      </c>
      <c r="J14" s="38">
        <f t="shared" si="3"/>
        <v>-146.9938915880785</v>
      </c>
    </row>
    <row r="15" spans="4:13">
      <c r="D15" s="10" t="e">
        <f>IF(E15="","",'TM-21 Inputs'!#REF!)</f>
        <v>#REF!</v>
      </c>
      <c r="E15" s="11">
        <f>IF(OR('TM-21 Inputs'!$I$19="",'TM-21 Inputs'!$I$21=""),"-",IF(OR('TM-21 Inputs'!K19="",'TM-21 Inputs'!L19=""),"",IF(OR(AND('TM-21 Inputs'!$I$19&gt;=6000,'TM-21 Inputs'!$I$19&lt;=10000,'TM-21 Inputs'!K19&gt;='TM-21 Inputs'!$I$19-5000),AND('TM-21 Inputs'!$I$19&gt;10000,OR('TM-21 Inputs'!K19&gt;=0.5*'TM-21 Inputs'!$I$19,'TM-21 Inputs'!K19=SMALL('TM-21 Inputs'!$K$10:$K$29,COUNTIF('TM-21 Inputs'!$K$10:$K$29,"&lt;"&amp;(0.5*'TM-21 Inputs'!$I$19)+1))))),'TM-21 Inputs'!K19,"")))</f>
        <v>10000</v>
      </c>
      <c r="F15" s="12">
        <f>IF(E15="","",'TM-21 Inputs'!L19)</f>
        <v>0.98150000000000004</v>
      </c>
      <c r="G15" s="13">
        <f t="shared" si="0"/>
        <v>-1.8673265265621256E-2</v>
      </c>
      <c r="H15" s="14">
        <f t="shared" si="1"/>
        <v>-186.73265265621257</v>
      </c>
      <c r="I15" s="37">
        <f t="shared" si="2"/>
        <v>100000000</v>
      </c>
      <c r="J15" s="38">
        <f t="shared" si="3"/>
        <v>-186.73265265621257</v>
      </c>
    </row>
    <row r="16" spans="4:13">
      <c r="D16" s="10" t="str">
        <f>IF(E16="","",'TM-21 Inputs'!#REF!)</f>
        <v/>
      </c>
      <c r="E16" s="11" t="str">
        <f>IF(OR('TM-21 Inputs'!$I$19="",'TM-21 Inputs'!$I$21=""),"-",IF(OR('TM-21 Inputs'!K20="",'TM-21 Inputs'!L20=""),"",IF(OR(AND('TM-21 Inputs'!$I$19&gt;=6000,'TM-21 Inputs'!$I$19&lt;=10000,'TM-21 Inputs'!K20&gt;='TM-21 Inputs'!$I$19-5000),AND('TM-21 Inputs'!$I$19&gt;10000,OR('TM-21 Inputs'!K20&gt;=0.5*'TM-21 Inputs'!$I$19,'TM-21 Inputs'!K20=SMALL('TM-21 Inputs'!$K$10:$K$29,COUNTIF('TM-21 Inputs'!$K$10:$K$29,"&lt;"&amp;(0.5*'TM-21 Inputs'!$I$19)+1))))),'TM-21 Inputs'!K20,"")))</f>
        <v/>
      </c>
      <c r="F16" s="12" t="str">
        <f>IF(E16="","",'TM-21 Inputs'!L20)</f>
        <v/>
      </c>
      <c r="G16" s="13" t="str">
        <f t="shared" si="0"/>
        <v/>
      </c>
      <c r="H16" s="14" t="str">
        <f t="shared" si="1"/>
        <v/>
      </c>
      <c r="I16" s="37" t="str">
        <f t="shared" si="2"/>
        <v/>
      </c>
      <c r="J16" s="38" t="str">
        <f t="shared" si="3"/>
        <v/>
      </c>
    </row>
    <row r="17" spans="4:10">
      <c r="D17" s="10" t="str">
        <f>IF(E17="","",'TM-21 Inputs'!#REF!)</f>
        <v/>
      </c>
      <c r="E17" s="11" t="str">
        <f>IF(OR('TM-21 Inputs'!$I$19="",'TM-21 Inputs'!$I$21=""),"-",IF(OR('TM-21 Inputs'!K21="",'TM-21 Inputs'!L21=""),"",IF(OR(AND('TM-21 Inputs'!$I$19&gt;=6000,'TM-21 Inputs'!$I$19&lt;=10000,'TM-21 Inputs'!K21&gt;='TM-21 Inputs'!$I$19-5000),AND('TM-21 Inputs'!$I$19&gt;10000,OR('TM-21 Inputs'!K21&gt;=0.5*'TM-21 Inputs'!$I$19,'TM-21 Inputs'!K21=SMALL('TM-21 Inputs'!$K$10:$K$29,COUNTIF('TM-21 Inputs'!$K$10:$K$29,"&lt;"&amp;(0.5*'TM-21 Inputs'!$I$19)+1))))),'TM-21 Inputs'!K21,"")))</f>
        <v/>
      </c>
      <c r="F17" s="12" t="str">
        <f>IF(E17="","",'TM-21 Inputs'!L21)</f>
        <v/>
      </c>
      <c r="G17" s="13" t="str">
        <f t="shared" si="0"/>
        <v/>
      </c>
      <c r="H17" s="14" t="str">
        <f t="shared" si="1"/>
        <v/>
      </c>
      <c r="I17" s="37" t="str">
        <f t="shared" si="2"/>
        <v/>
      </c>
      <c r="J17" s="38" t="str">
        <f t="shared" si="3"/>
        <v/>
      </c>
    </row>
    <row r="18" spans="4:10">
      <c r="D18" s="10" t="str">
        <f>IF(E18="","",'TM-21 Inputs'!#REF!)</f>
        <v/>
      </c>
      <c r="E18" s="11" t="str">
        <f>IF(OR('TM-21 Inputs'!$I$19="",'TM-21 Inputs'!$I$21=""),"-",IF(OR('TM-21 Inputs'!K22="",'TM-21 Inputs'!L22=""),"",IF(OR(AND('TM-21 Inputs'!$I$19&gt;=6000,'TM-21 Inputs'!$I$19&lt;=10000,'TM-21 Inputs'!K22&gt;='TM-21 Inputs'!$I$19-5000),AND('TM-21 Inputs'!$I$19&gt;10000,OR('TM-21 Inputs'!K22&gt;=0.5*'TM-21 Inputs'!$I$19,'TM-21 Inputs'!K22=SMALL('TM-21 Inputs'!$K$10:$K$29,COUNTIF('TM-21 Inputs'!$K$10:$K$29,"&lt;"&amp;(0.5*'TM-21 Inputs'!$I$19)+1))))),'TM-21 Inputs'!K22,"")))</f>
        <v/>
      </c>
      <c r="F18" s="12" t="str">
        <f>IF(E18="","",'TM-21 Inputs'!L22)</f>
        <v/>
      </c>
      <c r="G18" s="13" t="str">
        <f t="shared" si="0"/>
        <v/>
      </c>
      <c r="H18" s="14" t="str">
        <f t="shared" si="1"/>
        <v/>
      </c>
      <c r="I18" s="37" t="str">
        <f t="shared" si="2"/>
        <v/>
      </c>
      <c r="J18" s="38" t="str">
        <f t="shared" si="3"/>
        <v/>
      </c>
    </row>
    <row r="19" spans="4:10">
      <c r="D19" s="10" t="str">
        <f>IF(E19="","",'TM-21 Inputs'!#REF!)</f>
        <v/>
      </c>
      <c r="E19" s="11" t="str">
        <f>IF(OR('TM-21 Inputs'!$I$19="",'TM-21 Inputs'!$I$21=""),"-",IF(OR('TM-21 Inputs'!K23="",'TM-21 Inputs'!L23=""),"",IF(OR(AND('TM-21 Inputs'!$I$19&gt;=6000,'TM-21 Inputs'!$I$19&lt;=10000,'TM-21 Inputs'!K23&gt;='TM-21 Inputs'!$I$19-5000),AND('TM-21 Inputs'!$I$19&gt;10000,OR('TM-21 Inputs'!K23&gt;=0.5*'TM-21 Inputs'!$I$19,'TM-21 Inputs'!K23=SMALL('TM-21 Inputs'!$K$10:$K$29,COUNTIF('TM-21 Inputs'!$K$10:$K$29,"&lt;"&amp;(0.5*'TM-21 Inputs'!$I$19)+1))))),'TM-21 Inputs'!K23,"")))</f>
        <v/>
      </c>
      <c r="F19" s="12" t="str">
        <f>IF(E19="","",'TM-21 Inputs'!L23)</f>
        <v/>
      </c>
      <c r="G19" s="13" t="str">
        <f t="shared" si="0"/>
        <v/>
      </c>
      <c r="H19" s="14" t="str">
        <f t="shared" si="1"/>
        <v/>
      </c>
      <c r="I19" s="37" t="str">
        <f t="shared" si="2"/>
        <v/>
      </c>
      <c r="J19" s="38" t="str">
        <f t="shared" si="3"/>
        <v/>
      </c>
    </row>
    <row r="20" spans="4:10">
      <c r="D20" s="10" t="str">
        <f>IF(E20="","",'TM-21 Inputs'!#REF!)</f>
        <v/>
      </c>
      <c r="E20" s="11" t="str">
        <f>IF(OR('TM-21 Inputs'!$I$19="",'TM-21 Inputs'!$I$21=""),"-",IF(OR('TM-21 Inputs'!K24="",'TM-21 Inputs'!L24=""),"",IF(OR(AND('TM-21 Inputs'!$I$19&gt;=6000,'TM-21 Inputs'!$I$19&lt;=10000,'TM-21 Inputs'!K24&gt;='TM-21 Inputs'!$I$19-5000),AND('TM-21 Inputs'!$I$19&gt;10000,OR('TM-21 Inputs'!K24&gt;=0.5*'TM-21 Inputs'!$I$19,'TM-21 Inputs'!K24=SMALL('TM-21 Inputs'!$K$10:$K$29,COUNTIF('TM-21 Inputs'!$K$10:$K$29,"&lt;"&amp;(0.5*'TM-21 Inputs'!$I$19)+1))))),'TM-21 Inputs'!K24,"")))</f>
        <v/>
      </c>
      <c r="F20" s="12" t="str">
        <f>IF(E20="","",'TM-21 Inputs'!L24)</f>
        <v/>
      </c>
      <c r="G20" s="13" t="str">
        <f t="shared" si="0"/>
        <v/>
      </c>
      <c r="H20" s="14" t="str">
        <f t="shared" si="1"/>
        <v/>
      </c>
      <c r="I20" s="37" t="str">
        <f t="shared" si="2"/>
        <v/>
      </c>
      <c r="J20" s="38" t="str">
        <f t="shared" si="3"/>
        <v/>
      </c>
    </row>
    <row r="21" spans="4:10">
      <c r="D21" s="10" t="str">
        <f>IF(E21="","",'TM-21 Inputs'!#REF!)</f>
        <v/>
      </c>
      <c r="E21" s="11" t="str">
        <f>IF(OR('TM-21 Inputs'!$I$19="",'TM-21 Inputs'!$I$21=""),"-",IF(OR('TM-21 Inputs'!K25="",'TM-21 Inputs'!L25=""),"",IF(OR(AND('TM-21 Inputs'!$I$19&gt;=6000,'TM-21 Inputs'!$I$19&lt;=10000,'TM-21 Inputs'!K25&gt;='TM-21 Inputs'!$I$19-5000),AND('TM-21 Inputs'!$I$19&gt;10000,OR('TM-21 Inputs'!K25&gt;=0.5*'TM-21 Inputs'!$I$19,'TM-21 Inputs'!K25=SMALL('TM-21 Inputs'!$K$10:$K$29,COUNTIF('TM-21 Inputs'!$K$10:$K$29,"&lt;"&amp;(0.5*'TM-21 Inputs'!$I$19)+1))))),'TM-21 Inputs'!K25,"")))</f>
        <v/>
      </c>
      <c r="F21" s="12" t="str">
        <f>IF(E21="","",'TM-21 Inputs'!L25)</f>
        <v/>
      </c>
      <c r="G21" s="13" t="str">
        <f t="shared" si="0"/>
        <v/>
      </c>
      <c r="H21" s="14" t="str">
        <f t="shared" si="1"/>
        <v/>
      </c>
      <c r="I21" s="37" t="str">
        <f t="shared" si="2"/>
        <v/>
      </c>
      <c r="J21" s="38" t="str">
        <f t="shared" si="3"/>
        <v/>
      </c>
    </row>
    <row r="22" spans="4:10">
      <c r="D22" s="10" t="str">
        <f>IF(E22="","",'TM-21 Inputs'!#REF!)</f>
        <v/>
      </c>
      <c r="E22" s="11" t="str">
        <f>IF(OR('TM-21 Inputs'!$I$19="",'TM-21 Inputs'!$I$21=""),"-",IF(OR('TM-21 Inputs'!K26="",'TM-21 Inputs'!L26=""),"",IF(OR(AND('TM-21 Inputs'!$I$19&gt;=6000,'TM-21 Inputs'!$I$19&lt;=10000,'TM-21 Inputs'!K26&gt;='TM-21 Inputs'!$I$19-5000),AND('TM-21 Inputs'!$I$19&gt;10000,OR('TM-21 Inputs'!K26&gt;=0.5*'TM-21 Inputs'!$I$19,'TM-21 Inputs'!K26=SMALL('TM-21 Inputs'!$K$10:$K$29,COUNTIF('TM-21 Inputs'!$K$10:$K$29,"&lt;"&amp;(0.5*'TM-21 Inputs'!$I$19)+1))))),'TM-21 Inputs'!K26,"")))</f>
        <v/>
      </c>
      <c r="F22" s="12" t="str">
        <f>IF(E22="","",'TM-21 Inputs'!L26)</f>
        <v/>
      </c>
      <c r="G22" s="13" t="str">
        <f t="shared" si="0"/>
        <v/>
      </c>
      <c r="H22" s="14" t="str">
        <f t="shared" si="1"/>
        <v/>
      </c>
      <c r="I22" s="37" t="str">
        <f t="shared" si="2"/>
        <v/>
      </c>
      <c r="J22" s="38" t="str">
        <f t="shared" si="3"/>
        <v/>
      </c>
    </row>
    <row r="23" spans="4:10">
      <c r="D23" s="10" t="str">
        <f>IF(E23="","",'TM-21 Inputs'!#REF!)</f>
        <v/>
      </c>
      <c r="E23" s="11" t="str">
        <f>IF(OR('TM-21 Inputs'!$I$19="",'TM-21 Inputs'!$I$21=""),"-",IF(OR('TM-21 Inputs'!K27="",'TM-21 Inputs'!L27=""),"",IF(OR(AND('TM-21 Inputs'!$I$19&gt;=6000,'TM-21 Inputs'!$I$19&lt;=10000,'TM-21 Inputs'!K27&gt;='TM-21 Inputs'!$I$19-5000),AND('TM-21 Inputs'!$I$19&gt;10000,OR('TM-21 Inputs'!K27&gt;=0.5*'TM-21 Inputs'!$I$19,'TM-21 Inputs'!K27=SMALL('TM-21 Inputs'!$K$10:$K$29,COUNTIF('TM-21 Inputs'!$K$10:$K$29,"&lt;"&amp;(0.5*'TM-21 Inputs'!$I$19)+1))))),'TM-21 Inputs'!K27,"")))</f>
        <v/>
      </c>
      <c r="F23" s="12" t="str">
        <f>IF(E23="","",'TM-21 Inputs'!L27)</f>
        <v/>
      </c>
      <c r="G23" s="13" t="str">
        <f t="shared" si="0"/>
        <v/>
      </c>
      <c r="H23" s="14" t="str">
        <f t="shared" si="1"/>
        <v/>
      </c>
      <c r="I23" s="37" t="str">
        <f t="shared" si="2"/>
        <v/>
      </c>
      <c r="J23" s="38" t="str">
        <f t="shared" si="3"/>
        <v/>
      </c>
    </row>
    <row r="24" spans="4:10">
      <c r="D24" s="10" t="str">
        <f>IF(E24="","",'TM-21 Inputs'!#REF!)</f>
        <v/>
      </c>
      <c r="E24" s="11" t="str">
        <f>IF(OR('TM-21 Inputs'!$I$19="",'TM-21 Inputs'!$I$21=""),"-",IF(OR('TM-21 Inputs'!K28="",'TM-21 Inputs'!L28=""),"",IF(OR(AND('TM-21 Inputs'!$I$19&gt;=6000,'TM-21 Inputs'!$I$19&lt;=10000,'TM-21 Inputs'!K28&gt;='TM-21 Inputs'!$I$19-5000),AND('TM-21 Inputs'!$I$19&gt;10000,OR('TM-21 Inputs'!K28&gt;=0.5*'TM-21 Inputs'!$I$19,'TM-21 Inputs'!K28=SMALL('TM-21 Inputs'!$K$10:$K$29,COUNTIF('TM-21 Inputs'!$K$10:$K$29,"&lt;"&amp;(0.5*'TM-21 Inputs'!$I$19)+1))))),'TM-21 Inputs'!K28,"")))</f>
        <v/>
      </c>
      <c r="F24" s="12" t="str">
        <f>IF(E24="","",'TM-21 Inputs'!L28)</f>
        <v/>
      </c>
      <c r="G24" s="13" t="str">
        <f t="shared" si="0"/>
        <v/>
      </c>
      <c r="H24" s="14" t="str">
        <f t="shared" si="1"/>
        <v/>
      </c>
      <c r="I24" s="37" t="str">
        <f t="shared" si="2"/>
        <v/>
      </c>
      <c r="J24" s="38" t="str">
        <f t="shared" si="3"/>
        <v/>
      </c>
    </row>
    <row r="25" spans="4:10">
      <c r="D25" s="15" t="str">
        <f>IF(E25="","",'TM-21 Inputs'!#REF!)</f>
        <v/>
      </c>
      <c r="E25" s="16" t="str">
        <f>IF(OR('TM-21 Inputs'!$I$19="",'TM-21 Inputs'!$I$21=""),"-",IF(OR('TM-21 Inputs'!K29="",'TM-21 Inputs'!L29=""),"",IF(OR(AND('TM-21 Inputs'!$I$19&gt;=6000,'TM-21 Inputs'!$I$19&lt;=10000,'TM-21 Inputs'!K29&gt;='TM-21 Inputs'!$I$19-5000),AND('TM-21 Inputs'!$I$19&gt;10000,OR('TM-21 Inputs'!K29&gt;=0.5*'TM-21 Inputs'!$I$19,'TM-21 Inputs'!K29=SMALL('TM-21 Inputs'!$K$10:$K$29,COUNTIF('TM-21 Inputs'!$K$10:$K$29,"&lt;"&amp;(0.5*'TM-21 Inputs'!$I$19)+1))))),'TM-21 Inputs'!K29,"")))</f>
        <v/>
      </c>
      <c r="F25" s="17" t="str">
        <f>IF(E25="","",'TM-21 Inputs'!L29)</f>
        <v/>
      </c>
      <c r="G25" s="18" t="str">
        <f t="shared" si="0"/>
        <v/>
      </c>
      <c r="H25" s="19" t="str">
        <f t="shared" si="1"/>
        <v/>
      </c>
      <c r="I25" s="39" t="str">
        <f t="shared" si="2"/>
        <v/>
      </c>
      <c r="J25" s="40" t="str">
        <f t="shared" si="3"/>
        <v/>
      </c>
    </row>
    <row r="26" spans="4:10">
      <c r="D26" s="20" t="s">
        <v>98</v>
      </c>
      <c r="E26" s="21">
        <f t="shared" ref="E26:J26" si="4">SUM(E6:E25)</f>
        <v>45000</v>
      </c>
      <c r="F26" s="22">
        <f t="shared" si="4"/>
        <v>5.9208999999999996</v>
      </c>
      <c r="G26" s="23">
        <f t="shared" si="4"/>
        <v>-7.9663045924717402E-2</v>
      </c>
      <c r="H26" s="24">
        <f t="shared" si="4"/>
        <v>-633.40304219260395</v>
      </c>
      <c r="I26" s="41">
        <f t="shared" si="4"/>
        <v>355000000</v>
      </c>
      <c r="J26" s="42">
        <f t="shared" si="4"/>
        <v>-633.40304219260395</v>
      </c>
    </row>
    <row r="28" spans="4:10" ht="14.25">
      <c r="E28" s="298" t="s">
        <v>22</v>
      </c>
      <c r="F28" s="300"/>
    </row>
    <row r="29" spans="4:10">
      <c r="E29" s="25" t="s">
        <v>99</v>
      </c>
      <c r="F29" s="26">
        <f>((COUNTIF(E6:E25,"&gt;"&amp;0)*H26-(E26*G26))/((COUNTIF(E6:E25,"&gt;"&amp;0)*I26)-(E26^2)))</f>
        <v>-2.0531541575556211E-6</v>
      </c>
    </row>
    <row r="30" spans="4:10">
      <c r="E30" s="27" t="s">
        <v>100</v>
      </c>
      <c r="F30" s="28">
        <f>(G26-(F29*E26))/COUNTIF(E6:E25,"&gt;"&amp;0)</f>
        <v>2.1214818608809257E-3</v>
      </c>
    </row>
    <row r="31" spans="4:10" ht="15">
      <c r="E31" s="29" t="s">
        <v>58</v>
      </c>
      <c r="F31" s="28">
        <f>-F29</f>
        <v>2.0531541575556211E-6</v>
      </c>
    </row>
    <row r="32" spans="4:10">
      <c r="E32" s="27" t="s">
        <v>59</v>
      </c>
      <c r="F32" s="28">
        <f>EXP(F30)</f>
        <v>1.0021237337957221</v>
      </c>
    </row>
    <row r="33" spans="5:6" ht="30" customHeight="1">
      <c r="E33" s="30" t="str">
        <f>CONCATENATE("Calculated L",'TM-21 Inputs'!I35," (hrs):")</f>
        <v>Calculated L90 (hrs):</v>
      </c>
      <c r="F33" s="31">
        <f>ROUND((LN(F32/('TM-21 Inputs'!$I$35/100))/F31),-3)</f>
        <v>52000</v>
      </c>
    </row>
    <row r="34" spans="5:6" ht="27">
      <c r="E34" s="32" t="str">
        <f>CONCATENATE("Reported L",'TM-21 Inputs'!I35," (hrs):")</f>
        <v>Reported L90 (hrs):</v>
      </c>
      <c r="F34" s="33">
        <f>IF(OR(AND('TM-21 Inputs'!$I$18&gt;=20,$F$33&lt;6*'TM-21 Inputs'!$I$19),AND('TM-21 Inputs'!$I$18&gt;=10,'TM-21 Inputs'!$I$18&lt;=19,$F$33&lt;5.5*'TM-21 Inputs'!$I$19)),ROUND(F33,-3),IF('TM-21 Inputs'!$I$18&gt;=20,CONCATENATE("&gt;",ROUND((6*'TM-21 Inputs'!$I$19),-3)),IF(AND('TM-21 Inputs'!$I$18&gt;=10,'TM-21 Inputs'!$I$18&lt;=19),CONCATENATE("&gt;",ROUND((5.5*'TM-21 Inputs'!$I$19),-3)),"error")))</f>
        <v>52000</v>
      </c>
    </row>
  </sheetData>
  <sheetProtection password="C696" sheet="1" objects="1" scenarios="1"/>
  <mergeCells count="2">
    <mergeCell ref="D4:J4"/>
    <mergeCell ref="E28:F28"/>
  </mergeCells>
  <pageMargins left="0.69930555555555596" right="0.69930555555555596"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D4:J34"/>
  <sheetViews>
    <sheetView workbookViewId="0">
      <selection activeCell="G24" sqref="G24"/>
    </sheetView>
  </sheetViews>
  <sheetFormatPr defaultColWidth="9.125" defaultRowHeight="13.5"/>
  <cols>
    <col min="1" max="1" width="17" style="1" customWidth="1"/>
    <col min="2" max="3" width="9.125" style="1"/>
    <col min="4" max="4" width="6.25" style="1" customWidth="1"/>
    <col min="5" max="5" width="12.875" style="1" customWidth="1"/>
    <col min="6" max="6" width="17.875" style="1" customWidth="1"/>
    <col min="7" max="7" width="27.625" style="1" customWidth="1"/>
    <col min="8" max="8" width="12.625" style="1" customWidth="1"/>
    <col min="9" max="9" width="11.125" style="1" customWidth="1"/>
    <col min="10" max="16384" width="9.125" style="1"/>
  </cols>
  <sheetData>
    <row r="4" spans="4:10" ht="15" customHeight="1">
      <c r="D4" s="298" t="str">
        <f>IF('TM-21 Inputs'!I22="","Insert Case Temperature 2",CONCATENATE("Test Data for ",'TM-21 Inputs'!I22,"⁰C Case Temperature"))</f>
        <v>Test Data for 85⁰C Case Temperature</v>
      </c>
      <c r="E4" s="299"/>
      <c r="F4" s="299"/>
      <c r="G4" s="299"/>
      <c r="H4" s="299"/>
      <c r="I4" s="299"/>
      <c r="J4" s="300"/>
    </row>
    <row r="5" spans="4:10" ht="60" customHeight="1">
      <c r="D5" s="2" t="s">
        <v>91</v>
      </c>
      <c r="E5" s="3" t="s">
        <v>92</v>
      </c>
      <c r="F5" s="4" t="s">
        <v>93</v>
      </c>
      <c r="G5" s="4" t="s">
        <v>94</v>
      </c>
      <c r="H5" s="4" t="s">
        <v>95</v>
      </c>
      <c r="I5" s="4" t="s">
        <v>96</v>
      </c>
      <c r="J5" s="34" t="s">
        <v>97</v>
      </c>
    </row>
    <row r="6" spans="4:10">
      <c r="D6" s="5" t="str">
        <f>IF(E6="","",'TM-21 Inputs'!#REF!)</f>
        <v/>
      </c>
      <c r="E6" s="6" t="str">
        <f>IF(OR('TM-21 Inputs'!$I$19="",'TM-21 Inputs'!$I$21=""),"-",IF(OR('TM-21 Inputs'!N10="",'TM-21 Inputs'!L10=""),"",IF(OR(AND('TM-21 Inputs'!$I$19&gt;=6000,'TM-21 Inputs'!$I$19&lt;=10000,'TM-21 Inputs'!N10&gt;='TM-21 Inputs'!$I$19-5000),AND('TM-21 Inputs'!$I$19&gt;10000,OR('TM-21 Inputs'!N10&gt;=0.5*'TM-21 Inputs'!$I$19,'TM-21 Inputs'!N10=SMALL('TM-21 Inputs'!$N$10:$N$29,COUNTIF('TM-21 Inputs'!$N$10:$N$29,"&lt;"&amp;(0.5*'TM-21 Inputs'!$I$19)+1))))),'TM-21 Inputs'!N10,"")))</f>
        <v/>
      </c>
      <c r="F6" s="7" t="str">
        <f>IF(E6="","",'TM-21 Inputs'!O10)</f>
        <v/>
      </c>
      <c r="G6" s="8" t="str">
        <f>IF(E6="","",LN(F6))</f>
        <v/>
      </c>
      <c r="H6" s="9" t="str">
        <f>IF(E6="","",(G6*E6))</f>
        <v/>
      </c>
      <c r="I6" s="35" t="str">
        <f>IF(E6="","",E6^2)</f>
        <v/>
      </c>
      <c r="J6" s="36" t="str">
        <f>IF(E6="","",E6*G6)</f>
        <v/>
      </c>
    </row>
    <row r="7" spans="4:10">
      <c r="D7" s="10" t="str">
        <f>IF(E7="","",'TM-21 Inputs'!#REF!)</f>
        <v/>
      </c>
      <c r="E7" s="11" t="str">
        <f>IF(OR('TM-21 Inputs'!$I$19="",'TM-21 Inputs'!$I$21=""),"-",IF(OR('TM-21 Inputs'!N11="",'TM-21 Inputs'!L11=""),"",IF(OR(AND('TM-21 Inputs'!$I$19&gt;=6000,'TM-21 Inputs'!$I$19&lt;=10000,'TM-21 Inputs'!N11&gt;='TM-21 Inputs'!$I$19-5000),AND('TM-21 Inputs'!$I$19&gt;10000,OR('TM-21 Inputs'!N11&gt;=0.5*'TM-21 Inputs'!$I$19,'TM-21 Inputs'!N11=SMALL('TM-21 Inputs'!$N$10:$N$29,COUNTIF('TM-21 Inputs'!$N$10:$N$29,"&lt;"&amp;(0.5*'TM-21 Inputs'!$I$19)+1))))),'TM-21 Inputs'!N11,"")))</f>
        <v/>
      </c>
      <c r="F7" s="12" t="str">
        <f>IF(E7="","",'TM-21 Inputs'!O11)</f>
        <v/>
      </c>
      <c r="G7" s="13" t="str">
        <f t="shared" ref="G7:G25" si="0">IF(E7="","",LN(F7))</f>
        <v/>
      </c>
      <c r="H7" s="14" t="str">
        <f t="shared" ref="H7:H25" si="1">IF(E7="","",(G7*E7))</f>
        <v/>
      </c>
      <c r="I7" s="37" t="str">
        <f t="shared" ref="I7:I25" si="2">IF(E7="","",E7^2)</f>
        <v/>
      </c>
      <c r="J7" s="38" t="str">
        <f t="shared" ref="J7:J25" si="3">IF(E7="","",E7*G7)</f>
        <v/>
      </c>
    </row>
    <row r="8" spans="4:10">
      <c r="D8" s="10" t="str">
        <f>IF(E8="","",'TM-21 Inputs'!#REF!)</f>
        <v/>
      </c>
      <c r="E8" s="11" t="str">
        <f>IF(OR('TM-21 Inputs'!$I$19="",'TM-21 Inputs'!$I$21=""),"-",IF(OR('TM-21 Inputs'!N12="",'TM-21 Inputs'!L12=""),"",IF(OR(AND('TM-21 Inputs'!$I$19&gt;=6000,'TM-21 Inputs'!$I$19&lt;=10000,'TM-21 Inputs'!N12&gt;='TM-21 Inputs'!$I$19-5000),AND('TM-21 Inputs'!$I$19&gt;10000,OR('TM-21 Inputs'!N12&gt;=0.5*'TM-21 Inputs'!$I$19,'TM-21 Inputs'!N12=SMALL('TM-21 Inputs'!$N$10:$N$29,COUNTIF('TM-21 Inputs'!$N$10:$N$29,"&lt;"&amp;(0.5*'TM-21 Inputs'!$I$19)+1))))),'TM-21 Inputs'!N12,"")))</f>
        <v/>
      </c>
      <c r="F8" s="12" t="str">
        <f>IF(E8="","",'TM-21 Inputs'!O12)</f>
        <v/>
      </c>
      <c r="G8" s="13" t="str">
        <f t="shared" si="0"/>
        <v/>
      </c>
      <c r="H8" s="14" t="str">
        <f t="shared" si="1"/>
        <v/>
      </c>
      <c r="I8" s="37" t="str">
        <f t="shared" si="2"/>
        <v/>
      </c>
      <c r="J8" s="38" t="str">
        <f t="shared" si="3"/>
        <v/>
      </c>
    </row>
    <row r="9" spans="4:10">
      <c r="D9" s="10" t="str">
        <f>IF(E9="","",'TM-21 Inputs'!#REF!)</f>
        <v/>
      </c>
      <c r="E9" s="11" t="str">
        <f>IF(OR('TM-21 Inputs'!$I$19="",'TM-21 Inputs'!$I$21=""),"-",IF(OR('TM-21 Inputs'!N13="",'TM-21 Inputs'!L13=""),"",IF(OR(AND('TM-21 Inputs'!$I$19&gt;=6000,'TM-21 Inputs'!$I$19&lt;=10000,'TM-21 Inputs'!N13&gt;='TM-21 Inputs'!$I$19-5000),AND('TM-21 Inputs'!$I$19&gt;10000,OR('TM-21 Inputs'!N13&gt;=0.5*'TM-21 Inputs'!$I$19,'TM-21 Inputs'!N13=SMALL('TM-21 Inputs'!$N$10:$N$29,COUNTIF('TM-21 Inputs'!$N$10:$N$29,"&lt;"&amp;(0.5*'TM-21 Inputs'!$I$19)+1))))),'TM-21 Inputs'!N13,"")))</f>
        <v/>
      </c>
      <c r="F9" s="12" t="str">
        <f>IF(E9="","",'TM-21 Inputs'!O13)</f>
        <v/>
      </c>
      <c r="G9" s="13" t="str">
        <f t="shared" si="0"/>
        <v/>
      </c>
      <c r="H9" s="14" t="str">
        <f t="shared" si="1"/>
        <v/>
      </c>
      <c r="I9" s="37" t="str">
        <f t="shared" si="2"/>
        <v/>
      </c>
      <c r="J9" s="38" t="str">
        <f t="shared" si="3"/>
        <v/>
      </c>
    </row>
    <row r="10" spans="4:10">
      <c r="D10" s="10" t="e">
        <f>IF(E10="","",'TM-21 Inputs'!#REF!)</f>
        <v>#REF!</v>
      </c>
      <c r="E10" s="11">
        <f>IF(OR('TM-21 Inputs'!$I$19="",'TM-21 Inputs'!$I$21=""),"-",IF(OR('TM-21 Inputs'!N14="",'TM-21 Inputs'!L14=""),"",IF(OR(AND('TM-21 Inputs'!$I$19&gt;=6000,'TM-21 Inputs'!$I$19&lt;=10000,'TM-21 Inputs'!N14&gt;='TM-21 Inputs'!$I$19-5000),AND('TM-21 Inputs'!$I$19&gt;10000,OR('TM-21 Inputs'!N14&gt;=0.5*'TM-21 Inputs'!$I$19,'TM-21 Inputs'!N14=SMALL('TM-21 Inputs'!$N$10:$N$29,COUNTIF('TM-21 Inputs'!$N$10:$N$29,"&lt;"&amp;(0.5*'TM-21 Inputs'!$I$19)+1))))),'TM-21 Inputs'!N14,"")))</f>
        <v>5000</v>
      </c>
      <c r="F10" s="12">
        <f>IF(E10="","",'TM-21 Inputs'!O14)</f>
        <v>0.98629999999999995</v>
      </c>
      <c r="G10" s="13">
        <f t="shared" si="0"/>
        <v>-1.379471102218926E-2</v>
      </c>
      <c r="H10" s="14">
        <f t="shared" si="1"/>
        <v>-68.973555110946307</v>
      </c>
      <c r="I10" s="37">
        <f t="shared" si="2"/>
        <v>25000000</v>
      </c>
      <c r="J10" s="38">
        <f t="shared" si="3"/>
        <v>-68.973555110946307</v>
      </c>
    </row>
    <row r="11" spans="4:10">
      <c r="D11" s="10" t="e">
        <f>IF(E11="","",'TM-21 Inputs'!#REF!)</f>
        <v>#REF!</v>
      </c>
      <c r="E11" s="11">
        <f>IF(OR('TM-21 Inputs'!$I$19="",'TM-21 Inputs'!$I$21=""),"-",IF(OR('TM-21 Inputs'!N15="",'TM-21 Inputs'!L15=""),"",IF(OR(AND('TM-21 Inputs'!$I$19&gt;=6000,'TM-21 Inputs'!$I$19&lt;=10000,'TM-21 Inputs'!N15&gt;='TM-21 Inputs'!$I$19-5000),AND('TM-21 Inputs'!$I$19&gt;10000,OR('TM-21 Inputs'!N15&gt;=0.5*'TM-21 Inputs'!$I$19,'TM-21 Inputs'!N15=SMALL('TM-21 Inputs'!$N$10:$N$29,COUNTIF('TM-21 Inputs'!$N$10:$N$29,"&lt;"&amp;(0.5*'TM-21 Inputs'!$I$19)+1))))),'TM-21 Inputs'!N15,"")))</f>
        <v>6000</v>
      </c>
      <c r="F11" s="12">
        <f>IF(E11="","",'TM-21 Inputs'!O15)</f>
        <v>0.98380000000000001</v>
      </c>
      <c r="G11" s="13">
        <f t="shared" si="0"/>
        <v>-1.633265462089761E-2</v>
      </c>
      <c r="H11" s="14">
        <f t="shared" si="1"/>
        <v>-97.995927725385656</v>
      </c>
      <c r="I11" s="37">
        <f t="shared" si="2"/>
        <v>36000000</v>
      </c>
      <c r="J11" s="38">
        <f t="shared" si="3"/>
        <v>-97.995927725385656</v>
      </c>
    </row>
    <row r="12" spans="4:10">
      <c r="D12" s="10" t="e">
        <f>IF(E12="","",'TM-21 Inputs'!#REF!)</f>
        <v>#REF!</v>
      </c>
      <c r="E12" s="11">
        <f>IF(OR('TM-21 Inputs'!$I$19="",'TM-21 Inputs'!$I$21=""),"-",IF(OR('TM-21 Inputs'!N16="",'TM-21 Inputs'!L16=""),"",IF(OR(AND('TM-21 Inputs'!$I$19&gt;=6000,'TM-21 Inputs'!$I$19&lt;=10000,'TM-21 Inputs'!N16&gt;='TM-21 Inputs'!$I$19-5000),AND('TM-21 Inputs'!$I$19&gt;10000,OR('TM-21 Inputs'!N16&gt;=0.5*'TM-21 Inputs'!$I$19,'TM-21 Inputs'!N16=SMALL('TM-21 Inputs'!$N$10:$N$29,COUNTIF('TM-21 Inputs'!$N$10:$N$29,"&lt;"&amp;(0.5*'TM-21 Inputs'!$I$19)+1))))),'TM-21 Inputs'!N16,"")))</f>
        <v>7000</v>
      </c>
      <c r="F12" s="12">
        <f>IF(E12="","",'TM-21 Inputs'!O16)</f>
        <v>0.98119999999999996</v>
      </c>
      <c r="G12" s="13">
        <f t="shared" si="0"/>
        <v>-1.8978966597802856E-2</v>
      </c>
      <c r="H12" s="14">
        <f t="shared" si="1"/>
        <v>-132.85276618461998</v>
      </c>
      <c r="I12" s="37">
        <f t="shared" si="2"/>
        <v>49000000</v>
      </c>
      <c r="J12" s="38">
        <f t="shared" si="3"/>
        <v>-132.85276618461998</v>
      </c>
    </row>
    <row r="13" spans="4:10">
      <c r="D13" s="10" t="e">
        <f>IF(E13="","",'TM-21 Inputs'!#REF!)</f>
        <v>#REF!</v>
      </c>
      <c r="E13" s="11">
        <f>IF(OR('TM-21 Inputs'!$I$19="",'TM-21 Inputs'!$I$21=""),"-",IF(OR('TM-21 Inputs'!N17="",'TM-21 Inputs'!L17=""),"",IF(OR(AND('TM-21 Inputs'!$I$19&gt;=6000,'TM-21 Inputs'!$I$19&lt;=10000,'TM-21 Inputs'!N17&gt;='TM-21 Inputs'!$I$19-5000),AND('TM-21 Inputs'!$I$19&gt;10000,OR('TM-21 Inputs'!N17&gt;=0.5*'TM-21 Inputs'!$I$19,'TM-21 Inputs'!N17=SMALL('TM-21 Inputs'!$N$10:$N$29,COUNTIF('TM-21 Inputs'!$N$10:$N$29,"&lt;"&amp;(0.5*'TM-21 Inputs'!$I$19)+1))))),'TM-21 Inputs'!N17,"")))</f>
        <v>8000</v>
      </c>
      <c r="F13" s="12">
        <f>IF(E13="","",'TM-21 Inputs'!O17)</f>
        <v>0.97850000000000004</v>
      </c>
      <c r="G13" s="13">
        <f t="shared" si="0"/>
        <v>-2.1734492146006094E-2</v>
      </c>
      <c r="H13" s="14">
        <f t="shared" si="1"/>
        <v>-173.87593716804875</v>
      </c>
      <c r="I13" s="37">
        <f t="shared" si="2"/>
        <v>64000000</v>
      </c>
      <c r="J13" s="38">
        <f t="shared" si="3"/>
        <v>-173.87593716804875</v>
      </c>
    </row>
    <row r="14" spans="4:10">
      <c r="D14" s="10" t="e">
        <f>IF(E14="","",'TM-21 Inputs'!#REF!)</f>
        <v>#REF!</v>
      </c>
      <c r="E14" s="11">
        <f>IF(OR('TM-21 Inputs'!$I$19="",'TM-21 Inputs'!$I$21=""),"-",IF(OR('TM-21 Inputs'!N18="",'TM-21 Inputs'!L18=""),"",IF(OR(AND('TM-21 Inputs'!$I$19&gt;=6000,'TM-21 Inputs'!$I$19&lt;=10000,'TM-21 Inputs'!N18&gt;='TM-21 Inputs'!$I$19-5000),AND('TM-21 Inputs'!$I$19&gt;10000,OR('TM-21 Inputs'!N18&gt;=0.5*'TM-21 Inputs'!$I$19,'TM-21 Inputs'!N18=SMALL('TM-21 Inputs'!$N$10:$N$29,COUNTIF('TM-21 Inputs'!$N$10:$N$29,"&lt;"&amp;(0.5*'TM-21 Inputs'!$I$19)+1))))),'TM-21 Inputs'!N18,"")))</f>
        <v>9000</v>
      </c>
      <c r="F14" s="12">
        <f>IF(E14="","",'TM-21 Inputs'!O18)</f>
        <v>0.9758</v>
      </c>
      <c r="G14" s="13">
        <f t="shared" si="0"/>
        <v>-2.4497631600400235E-2</v>
      </c>
      <c r="H14" s="14">
        <f t="shared" si="1"/>
        <v>-220.47868440360213</v>
      </c>
      <c r="I14" s="37">
        <f t="shared" si="2"/>
        <v>81000000</v>
      </c>
      <c r="J14" s="38">
        <f t="shared" si="3"/>
        <v>-220.47868440360213</v>
      </c>
    </row>
    <row r="15" spans="4:10">
      <c r="D15" s="10" t="e">
        <f>IF(E15="","",'TM-21 Inputs'!#REF!)</f>
        <v>#REF!</v>
      </c>
      <c r="E15" s="11">
        <f>IF(OR('TM-21 Inputs'!$I$19="",'TM-21 Inputs'!$I$21=""),"-",IF(OR('TM-21 Inputs'!N19="",'TM-21 Inputs'!L19=""),"",IF(OR(AND('TM-21 Inputs'!$I$19&gt;=6000,'TM-21 Inputs'!$I$19&lt;=10000,'TM-21 Inputs'!N19&gt;='TM-21 Inputs'!$I$19-5000),AND('TM-21 Inputs'!$I$19&gt;10000,OR('TM-21 Inputs'!N19&gt;=0.5*'TM-21 Inputs'!$I$19,'TM-21 Inputs'!N19=SMALL('TM-21 Inputs'!$N$10:$N$29,COUNTIF('TM-21 Inputs'!$N$10:$N$29,"&lt;"&amp;(0.5*'TM-21 Inputs'!$I$19)+1))))),'TM-21 Inputs'!N19,"")))</f>
        <v>10000</v>
      </c>
      <c r="F15" s="12">
        <f>IF(E15="","",'TM-21 Inputs'!O19)</f>
        <v>0.97260000000000002</v>
      </c>
      <c r="G15" s="13">
        <f t="shared" si="0"/>
        <v>-2.7782381012451611E-2</v>
      </c>
      <c r="H15" s="14">
        <f t="shared" si="1"/>
        <v>-277.82381012451611</v>
      </c>
      <c r="I15" s="37">
        <f t="shared" si="2"/>
        <v>100000000</v>
      </c>
      <c r="J15" s="38">
        <f t="shared" si="3"/>
        <v>-277.82381012451611</v>
      </c>
    </row>
    <row r="16" spans="4:10">
      <c r="D16" s="10" t="str">
        <f>IF(E16="","",'TM-21 Inputs'!#REF!)</f>
        <v/>
      </c>
      <c r="E16" s="11" t="str">
        <f>IF(OR('TM-21 Inputs'!$I$19="",'TM-21 Inputs'!$I$21=""),"-",IF(OR('TM-21 Inputs'!N20="",'TM-21 Inputs'!L20=""),"",IF(OR(AND('TM-21 Inputs'!$I$19&gt;=6000,'TM-21 Inputs'!$I$19&lt;=10000,'TM-21 Inputs'!N20&gt;='TM-21 Inputs'!$I$19-5000),AND('TM-21 Inputs'!$I$19&gt;10000,OR('TM-21 Inputs'!N20&gt;=0.5*'TM-21 Inputs'!$I$19,'TM-21 Inputs'!N20=SMALL('TM-21 Inputs'!$N$10:$N$29,COUNTIF('TM-21 Inputs'!$N$10:$N$29,"&lt;"&amp;(0.5*'TM-21 Inputs'!$I$19)+1))))),'TM-21 Inputs'!N20,"")))</f>
        <v/>
      </c>
      <c r="F16" s="12" t="str">
        <f>IF(E16="","",'TM-21 Inputs'!O20)</f>
        <v/>
      </c>
      <c r="G16" s="13" t="str">
        <f t="shared" si="0"/>
        <v/>
      </c>
      <c r="H16" s="14" t="str">
        <f t="shared" si="1"/>
        <v/>
      </c>
      <c r="I16" s="37" t="str">
        <f t="shared" si="2"/>
        <v/>
      </c>
      <c r="J16" s="38" t="str">
        <f t="shared" si="3"/>
        <v/>
      </c>
    </row>
    <row r="17" spans="4:10">
      <c r="D17" s="10" t="str">
        <f>IF(E17="","",'TM-21 Inputs'!#REF!)</f>
        <v/>
      </c>
      <c r="E17" s="11" t="str">
        <f>IF(OR('TM-21 Inputs'!$I$19="",'TM-21 Inputs'!$I$21=""),"-",IF(OR('TM-21 Inputs'!N21="",'TM-21 Inputs'!L21=""),"",IF(OR(AND('TM-21 Inputs'!$I$19&gt;=6000,'TM-21 Inputs'!$I$19&lt;=10000,'TM-21 Inputs'!N21&gt;='TM-21 Inputs'!$I$19-5000),AND('TM-21 Inputs'!$I$19&gt;10000,OR('TM-21 Inputs'!N21&gt;=0.5*'TM-21 Inputs'!$I$19,'TM-21 Inputs'!N21=SMALL('TM-21 Inputs'!$N$10:$N$29,COUNTIF('TM-21 Inputs'!$N$10:$N$29,"&lt;"&amp;(0.5*'TM-21 Inputs'!$I$19)+1))))),'TM-21 Inputs'!N21,"")))</f>
        <v/>
      </c>
      <c r="F17" s="12" t="str">
        <f>IF(E17="","",'TM-21 Inputs'!O21)</f>
        <v/>
      </c>
      <c r="G17" s="13" t="str">
        <f t="shared" si="0"/>
        <v/>
      </c>
      <c r="H17" s="14" t="str">
        <f t="shared" si="1"/>
        <v/>
      </c>
      <c r="I17" s="37" t="str">
        <f t="shared" si="2"/>
        <v/>
      </c>
      <c r="J17" s="38" t="str">
        <f t="shared" si="3"/>
        <v/>
      </c>
    </row>
    <row r="18" spans="4:10">
      <c r="D18" s="10" t="str">
        <f>IF(E18="","",'TM-21 Inputs'!#REF!)</f>
        <v/>
      </c>
      <c r="E18" s="11" t="str">
        <f>IF(OR('TM-21 Inputs'!$I$19="",'TM-21 Inputs'!$I$21=""),"-",IF(OR('TM-21 Inputs'!N22="",'TM-21 Inputs'!L22=""),"",IF(OR(AND('TM-21 Inputs'!$I$19&gt;=6000,'TM-21 Inputs'!$I$19&lt;=10000,'TM-21 Inputs'!N22&gt;='TM-21 Inputs'!$I$19-5000),AND('TM-21 Inputs'!$I$19&gt;10000,OR('TM-21 Inputs'!N22&gt;=0.5*'TM-21 Inputs'!$I$19,'TM-21 Inputs'!N22=SMALL('TM-21 Inputs'!$N$10:$N$29,COUNTIF('TM-21 Inputs'!$N$10:$N$29,"&lt;"&amp;(0.5*'TM-21 Inputs'!$I$19)+1))))),'TM-21 Inputs'!N22,"")))</f>
        <v/>
      </c>
      <c r="F18" s="12" t="str">
        <f>IF(E18="","",'TM-21 Inputs'!O22)</f>
        <v/>
      </c>
      <c r="G18" s="13" t="str">
        <f t="shared" si="0"/>
        <v/>
      </c>
      <c r="H18" s="14" t="str">
        <f t="shared" si="1"/>
        <v/>
      </c>
      <c r="I18" s="37" t="str">
        <f t="shared" si="2"/>
        <v/>
      </c>
      <c r="J18" s="38" t="str">
        <f t="shared" si="3"/>
        <v/>
      </c>
    </row>
    <row r="19" spans="4:10">
      <c r="D19" s="10" t="str">
        <f>IF(E19="","",'TM-21 Inputs'!#REF!)</f>
        <v/>
      </c>
      <c r="E19" s="11" t="str">
        <f>IF(OR('TM-21 Inputs'!$I$19="",'TM-21 Inputs'!$I$21=""),"-",IF(OR('TM-21 Inputs'!N23="",'TM-21 Inputs'!L23=""),"",IF(OR(AND('TM-21 Inputs'!$I$19&gt;=6000,'TM-21 Inputs'!$I$19&lt;=10000,'TM-21 Inputs'!N23&gt;='TM-21 Inputs'!$I$19-5000),AND('TM-21 Inputs'!$I$19&gt;10000,OR('TM-21 Inputs'!N23&gt;=0.5*'TM-21 Inputs'!$I$19,'TM-21 Inputs'!N23=SMALL('TM-21 Inputs'!$N$10:$N$29,COUNTIF('TM-21 Inputs'!$N$10:$N$29,"&lt;"&amp;(0.5*'TM-21 Inputs'!$I$19)+1))))),'TM-21 Inputs'!N23,"")))</f>
        <v/>
      </c>
      <c r="F19" s="12" t="str">
        <f>IF(E19="","",'TM-21 Inputs'!O23)</f>
        <v/>
      </c>
      <c r="G19" s="13" t="str">
        <f t="shared" si="0"/>
        <v/>
      </c>
      <c r="H19" s="14" t="str">
        <f t="shared" si="1"/>
        <v/>
      </c>
      <c r="I19" s="37" t="str">
        <f t="shared" si="2"/>
        <v/>
      </c>
      <c r="J19" s="38" t="str">
        <f t="shared" si="3"/>
        <v/>
      </c>
    </row>
    <row r="20" spans="4:10">
      <c r="D20" s="10" t="str">
        <f>IF(E20="","",'TM-21 Inputs'!#REF!)</f>
        <v/>
      </c>
      <c r="E20" s="11" t="str">
        <f>IF(OR('TM-21 Inputs'!$I$19="",'TM-21 Inputs'!$I$21=""),"-",IF(OR('TM-21 Inputs'!N24="",'TM-21 Inputs'!L24=""),"",IF(OR(AND('TM-21 Inputs'!$I$19&gt;=6000,'TM-21 Inputs'!$I$19&lt;=10000,'TM-21 Inputs'!N24&gt;='TM-21 Inputs'!$I$19-5000),AND('TM-21 Inputs'!$I$19&gt;10000,OR('TM-21 Inputs'!N24&gt;=0.5*'TM-21 Inputs'!$I$19,'TM-21 Inputs'!N24=SMALL('TM-21 Inputs'!$N$10:$N$29,COUNTIF('TM-21 Inputs'!$N$10:$N$29,"&lt;"&amp;(0.5*'TM-21 Inputs'!$I$19)+1))))),'TM-21 Inputs'!N24,"")))</f>
        <v/>
      </c>
      <c r="F20" s="12" t="str">
        <f>IF(E20="","",'TM-21 Inputs'!O24)</f>
        <v/>
      </c>
      <c r="G20" s="13" t="str">
        <f t="shared" si="0"/>
        <v/>
      </c>
      <c r="H20" s="14" t="str">
        <f t="shared" si="1"/>
        <v/>
      </c>
      <c r="I20" s="37" t="str">
        <f t="shared" si="2"/>
        <v/>
      </c>
      <c r="J20" s="38" t="str">
        <f t="shared" si="3"/>
        <v/>
      </c>
    </row>
    <row r="21" spans="4:10">
      <c r="D21" s="10" t="str">
        <f>IF(E21="","",'TM-21 Inputs'!#REF!)</f>
        <v/>
      </c>
      <c r="E21" s="11" t="str">
        <f>IF(OR('TM-21 Inputs'!$I$19="",'TM-21 Inputs'!$I$21=""),"-",IF(OR('TM-21 Inputs'!N25="",'TM-21 Inputs'!L25=""),"",IF(OR(AND('TM-21 Inputs'!$I$19&gt;=6000,'TM-21 Inputs'!$I$19&lt;=10000,'TM-21 Inputs'!N25&gt;='TM-21 Inputs'!$I$19-5000),AND('TM-21 Inputs'!$I$19&gt;10000,OR('TM-21 Inputs'!N25&gt;=0.5*'TM-21 Inputs'!$I$19,'TM-21 Inputs'!N25=SMALL('TM-21 Inputs'!$N$10:$N$29,COUNTIF('TM-21 Inputs'!$N$10:$N$29,"&lt;"&amp;(0.5*'TM-21 Inputs'!$I$19)+1))))),'TM-21 Inputs'!N25,"")))</f>
        <v/>
      </c>
      <c r="F21" s="12" t="str">
        <f>IF(E21="","",'TM-21 Inputs'!O25)</f>
        <v/>
      </c>
      <c r="G21" s="13" t="str">
        <f t="shared" si="0"/>
        <v/>
      </c>
      <c r="H21" s="14" t="str">
        <f t="shared" si="1"/>
        <v/>
      </c>
      <c r="I21" s="37" t="str">
        <f t="shared" si="2"/>
        <v/>
      </c>
      <c r="J21" s="38" t="str">
        <f t="shared" si="3"/>
        <v/>
      </c>
    </row>
    <row r="22" spans="4:10">
      <c r="D22" s="10" t="str">
        <f>IF(E22="","",'TM-21 Inputs'!#REF!)</f>
        <v/>
      </c>
      <c r="E22" s="11" t="str">
        <f>IF(OR('TM-21 Inputs'!$I$19="",'TM-21 Inputs'!$I$21=""),"-",IF(OR('TM-21 Inputs'!N26="",'TM-21 Inputs'!L26=""),"",IF(OR(AND('TM-21 Inputs'!$I$19&gt;=6000,'TM-21 Inputs'!$I$19&lt;=10000,'TM-21 Inputs'!N26&gt;='TM-21 Inputs'!$I$19-5000),AND('TM-21 Inputs'!$I$19&gt;10000,OR('TM-21 Inputs'!N26&gt;=0.5*'TM-21 Inputs'!$I$19,'TM-21 Inputs'!N26=SMALL('TM-21 Inputs'!$N$10:$N$29,COUNTIF('TM-21 Inputs'!$N$10:$N$29,"&lt;"&amp;(0.5*'TM-21 Inputs'!$I$19)+1))))),'TM-21 Inputs'!N26,"")))</f>
        <v/>
      </c>
      <c r="F22" s="12" t="str">
        <f>IF(E22="","",'TM-21 Inputs'!O26)</f>
        <v/>
      </c>
      <c r="G22" s="13" t="str">
        <f t="shared" si="0"/>
        <v/>
      </c>
      <c r="H22" s="14" t="str">
        <f t="shared" si="1"/>
        <v/>
      </c>
      <c r="I22" s="37" t="str">
        <f t="shared" si="2"/>
        <v/>
      </c>
      <c r="J22" s="38" t="str">
        <f t="shared" si="3"/>
        <v/>
      </c>
    </row>
    <row r="23" spans="4:10">
      <c r="D23" s="10" t="str">
        <f>IF(E23="","",'TM-21 Inputs'!#REF!)</f>
        <v/>
      </c>
      <c r="E23" s="11" t="str">
        <f>IF(OR('TM-21 Inputs'!$I$19="",'TM-21 Inputs'!$I$21=""),"-",IF(OR('TM-21 Inputs'!N27="",'TM-21 Inputs'!L27=""),"",IF(OR(AND('TM-21 Inputs'!$I$19&gt;=6000,'TM-21 Inputs'!$I$19&lt;=10000,'TM-21 Inputs'!N27&gt;='TM-21 Inputs'!$I$19-5000),AND('TM-21 Inputs'!$I$19&gt;10000,OR('TM-21 Inputs'!N27&gt;=0.5*'TM-21 Inputs'!$I$19,'TM-21 Inputs'!N27=SMALL('TM-21 Inputs'!$N$10:$N$29,COUNTIF('TM-21 Inputs'!$N$10:$N$29,"&lt;"&amp;(0.5*'TM-21 Inputs'!$I$19)+1))))),'TM-21 Inputs'!N27,"")))</f>
        <v/>
      </c>
      <c r="F23" s="12" t="str">
        <f>IF(E23="","",'TM-21 Inputs'!O27)</f>
        <v/>
      </c>
      <c r="G23" s="13" t="str">
        <f t="shared" si="0"/>
        <v/>
      </c>
      <c r="H23" s="14" t="str">
        <f t="shared" si="1"/>
        <v/>
      </c>
      <c r="I23" s="37" t="str">
        <f t="shared" si="2"/>
        <v/>
      </c>
      <c r="J23" s="38" t="str">
        <f t="shared" si="3"/>
        <v/>
      </c>
    </row>
    <row r="24" spans="4:10">
      <c r="D24" s="10" t="str">
        <f>IF(E24="","",'TM-21 Inputs'!#REF!)</f>
        <v/>
      </c>
      <c r="E24" s="11" t="str">
        <f>IF(OR('TM-21 Inputs'!$I$19="",'TM-21 Inputs'!$I$21=""),"-",IF(OR('TM-21 Inputs'!N28="",'TM-21 Inputs'!L28=""),"",IF(OR(AND('TM-21 Inputs'!$I$19&gt;=6000,'TM-21 Inputs'!$I$19&lt;=10000,'TM-21 Inputs'!N28&gt;='TM-21 Inputs'!$I$19-5000),AND('TM-21 Inputs'!$I$19&gt;10000,OR('TM-21 Inputs'!N28&gt;=0.5*'TM-21 Inputs'!$I$19,'TM-21 Inputs'!N28=SMALL('TM-21 Inputs'!$N$10:$N$29,COUNTIF('TM-21 Inputs'!$N$10:$N$29,"&lt;"&amp;(0.5*'TM-21 Inputs'!$I$19)+1))))),'TM-21 Inputs'!N28,"")))</f>
        <v/>
      </c>
      <c r="F24" s="12" t="str">
        <f>IF(E24="","",'TM-21 Inputs'!O28)</f>
        <v/>
      </c>
      <c r="G24" s="13" t="str">
        <f t="shared" si="0"/>
        <v/>
      </c>
      <c r="H24" s="14" t="str">
        <f t="shared" si="1"/>
        <v/>
      </c>
      <c r="I24" s="37" t="str">
        <f t="shared" si="2"/>
        <v/>
      </c>
      <c r="J24" s="38" t="str">
        <f t="shared" si="3"/>
        <v/>
      </c>
    </row>
    <row r="25" spans="4:10">
      <c r="D25" s="15" t="str">
        <f>IF(E25="","",'TM-21 Inputs'!#REF!)</f>
        <v/>
      </c>
      <c r="E25" s="16" t="str">
        <f>IF(OR('TM-21 Inputs'!$I$19="",'TM-21 Inputs'!$I$21=""),"-",IF(OR('TM-21 Inputs'!N29="",'TM-21 Inputs'!L29=""),"",IF(OR(AND('TM-21 Inputs'!$I$19&gt;=6000,'TM-21 Inputs'!$I$19&lt;=10000,'TM-21 Inputs'!N29&gt;='TM-21 Inputs'!$I$19-5000),AND('TM-21 Inputs'!$I$19&gt;10000,OR('TM-21 Inputs'!N29&gt;=0.5*'TM-21 Inputs'!$I$19,'TM-21 Inputs'!N29=SMALL('TM-21 Inputs'!$N$10:$N$29,COUNTIF('TM-21 Inputs'!$N$10:$N$29,"&lt;"&amp;(0.5*'TM-21 Inputs'!$I$19)+1))))),'TM-21 Inputs'!N29,"")))</f>
        <v/>
      </c>
      <c r="F25" s="17" t="str">
        <f>IF(E25="","",'TM-21 Inputs'!O29)</f>
        <v/>
      </c>
      <c r="G25" s="18" t="str">
        <f t="shared" si="0"/>
        <v/>
      </c>
      <c r="H25" s="19" t="str">
        <f t="shared" si="1"/>
        <v/>
      </c>
      <c r="I25" s="39" t="str">
        <f t="shared" si="2"/>
        <v/>
      </c>
      <c r="J25" s="40" t="str">
        <f t="shared" si="3"/>
        <v/>
      </c>
    </row>
    <row r="26" spans="4:10">
      <c r="D26" s="20" t="s">
        <v>98</v>
      </c>
      <c r="E26" s="21">
        <f t="shared" ref="E26:J26" si="4">SUM(E6:E25)</f>
        <v>45000</v>
      </c>
      <c r="F26" s="22">
        <f t="shared" si="4"/>
        <v>5.8781999999999996</v>
      </c>
      <c r="G26" s="23">
        <f t="shared" si="4"/>
        <v>-0.12312083699974766</v>
      </c>
      <c r="H26" s="24">
        <f t="shared" si="4"/>
        <v>-972.00068071711894</v>
      </c>
      <c r="I26" s="41">
        <f t="shared" si="4"/>
        <v>355000000</v>
      </c>
      <c r="J26" s="42">
        <f t="shared" si="4"/>
        <v>-972.00068071711894</v>
      </c>
    </row>
    <row r="28" spans="4:10" ht="14.25">
      <c r="E28" s="298" t="s">
        <v>22</v>
      </c>
      <c r="F28" s="300"/>
    </row>
    <row r="29" spans="4:10">
      <c r="E29" s="25" t="s">
        <v>99</v>
      </c>
      <c r="F29" s="26">
        <f>IF('TM-21 Inputs'!I22="","",((COUNTIF(E6:E25,"&gt;"&amp;0)*H26-(E26*G26))/((COUNTIF(E6:E25,"&gt;"&amp;0)*I26)-(E26^2))))</f>
        <v>-2.7768230410863735E-6</v>
      </c>
    </row>
    <row r="30" spans="4:10">
      <c r="E30" s="27" t="s">
        <v>100</v>
      </c>
      <c r="F30" s="28">
        <f>IF('TM-21 Inputs'!I22="","",(G26-(F29*E26))/COUNTIF(E6:E25,"&gt;"&amp;0))</f>
        <v>3.0603330818985741E-4</v>
      </c>
    </row>
    <row r="31" spans="4:10" ht="15">
      <c r="E31" s="29" t="s">
        <v>58</v>
      </c>
      <c r="F31" s="28">
        <f>IF('TM-21 Inputs'!I22="","",-F29)</f>
        <v>2.7768230410863735E-6</v>
      </c>
    </row>
    <row r="32" spans="4:10">
      <c r="E32" s="27" t="s">
        <v>59</v>
      </c>
      <c r="F32" s="28">
        <f>IF('TM-21 Inputs'!I22="","",EXP(F30))</f>
        <v>1.0003060801411601</v>
      </c>
    </row>
    <row r="33" spans="5:6" ht="30" customHeight="1">
      <c r="E33" s="30" t="str">
        <f>CONCATENATE("Calculated L",'TM-21 Inputs'!I35," (hrs):")</f>
        <v>Calculated L90 (hrs):</v>
      </c>
      <c r="F33" s="31">
        <f>IF('TM-21 Inputs'!I22="","",ROUND((LN(F32/('TM-21 Inputs'!$I$35/100))/F31),-3))</f>
        <v>38000</v>
      </c>
    </row>
    <row r="34" spans="5:6" ht="27">
      <c r="E34" s="32" t="str">
        <f>CONCATENATE("Reported L",'TM-21 Inputs'!I35," (hrs):")</f>
        <v>Reported L90 (hrs):</v>
      </c>
      <c r="F34" s="33">
        <f>IF('TM-21 Inputs'!I22="","",IF(OR(AND('TM-21 Inputs'!$I$18&gt;=20,$F$33&lt;6*'TM-21 Inputs'!$I$19),AND('TM-21 Inputs'!$I$18&gt;=10,'TM-21 Inputs'!$I$18&lt;=19,$F$33&lt;5.5*'TM-21 Inputs'!$I$19)),ROUND(F33,-3),IF('TM-21 Inputs'!$I$18&gt;=20,CONCATENATE("&gt;",ROUND((6*'TM-21 Inputs'!$I$19),-3)),IF(AND('TM-21 Inputs'!$I$18&gt;=10,'TM-21 Inputs'!$I$18&lt;=19),CONCATENATE("&gt;",ROUND((5.5*'TM-21 Inputs'!$I$19),-3)),"error"))))</f>
        <v>38000</v>
      </c>
    </row>
  </sheetData>
  <sheetProtection password="C696" sheet="1" objects="1" scenarios="1"/>
  <mergeCells count="2">
    <mergeCell ref="D4:J4"/>
    <mergeCell ref="E28:F28"/>
  </mergeCells>
  <pageMargins left="0.69930555555555596" right="0.69930555555555596"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D4:J34"/>
  <sheetViews>
    <sheetView topLeftCell="A10" workbookViewId="0">
      <selection activeCell="G26" sqref="G26"/>
    </sheetView>
  </sheetViews>
  <sheetFormatPr defaultColWidth="9.125" defaultRowHeight="13.5"/>
  <cols>
    <col min="1" max="1" width="17" style="1" customWidth="1"/>
    <col min="2" max="3" width="9.125" style="1"/>
    <col min="4" max="4" width="6.25" style="1" customWidth="1"/>
    <col min="5" max="5" width="12.875" style="1" customWidth="1"/>
    <col min="6" max="6" width="17.875" style="1" customWidth="1"/>
    <col min="7" max="7" width="27.625" style="1" customWidth="1"/>
    <col min="8" max="8" width="12.625" style="1" customWidth="1"/>
    <col min="9" max="9" width="11.125" style="1" customWidth="1"/>
    <col min="10" max="16384" width="9.125" style="1"/>
  </cols>
  <sheetData>
    <row r="4" spans="4:10" ht="15" customHeight="1">
      <c r="D4" s="298" t="str">
        <f>IF('TM-21 Inputs'!I23="","Insert Case Temperature 3",CONCATENATE("Test Data for ",'TM-21 Inputs'!I23,"⁰C Case Temperature"))</f>
        <v>Test Data for 105⁰C Case Temperature</v>
      </c>
      <c r="E4" s="299"/>
      <c r="F4" s="299"/>
      <c r="G4" s="299"/>
      <c r="H4" s="299"/>
      <c r="I4" s="299"/>
      <c r="J4" s="300"/>
    </row>
    <row r="5" spans="4:10" ht="60" customHeight="1">
      <c r="D5" s="2" t="s">
        <v>91</v>
      </c>
      <c r="E5" s="3" t="s">
        <v>92</v>
      </c>
      <c r="F5" s="4" t="s">
        <v>93</v>
      </c>
      <c r="G5" s="4" t="s">
        <v>94</v>
      </c>
      <c r="H5" s="4" t="s">
        <v>95</v>
      </c>
      <c r="I5" s="4" t="s">
        <v>96</v>
      </c>
      <c r="J5" s="34" t="s">
        <v>97</v>
      </c>
    </row>
    <row r="6" spans="4:10">
      <c r="D6" s="5" t="str">
        <f>IF(E6="","",'TM-21 Inputs'!#REF!)</f>
        <v/>
      </c>
      <c r="E6" s="6" t="str">
        <f>IF(OR('TM-21 Inputs'!$I$19="",'TM-21 Inputs'!$I$21=""),"-",IF(OR('TM-21 Inputs'!Q10="",'TM-21 Inputs'!L10=""),"",IF(OR(AND('TM-21 Inputs'!$I$19&gt;=6000,'TM-21 Inputs'!$I$19&lt;=10000,'TM-21 Inputs'!Q10&gt;='TM-21 Inputs'!$I$19-5000),AND('TM-21 Inputs'!$I$19&gt;10000,OR('TM-21 Inputs'!Q10&gt;=0.5*'TM-21 Inputs'!$I$19,'TM-21 Inputs'!Q10=SMALL('TM-21 Inputs'!$Q$10:$Q$29,COUNTIF('TM-21 Inputs'!$Q$10:$Q$29,"&lt;"&amp;(0.5*'TM-21 Inputs'!$I$19)+1))))),'TM-21 Inputs'!Q10,"")))</f>
        <v/>
      </c>
      <c r="F6" s="7" t="str">
        <f>IF(E6="","",'TM-21 Inputs'!R10)</f>
        <v/>
      </c>
      <c r="G6" s="8" t="str">
        <f>IF(E6="","",LN(F6))</f>
        <v/>
      </c>
      <c r="H6" s="9" t="str">
        <f>IF(E6="","",(G6*E6))</f>
        <v/>
      </c>
      <c r="I6" s="35" t="str">
        <f>IF(E6="","",E6^2)</f>
        <v/>
      </c>
      <c r="J6" s="36" t="str">
        <f>IF(E6="","",E6*G6)</f>
        <v/>
      </c>
    </row>
    <row r="7" spans="4:10">
      <c r="D7" s="10" t="str">
        <f>IF(E7="","",'TM-21 Inputs'!#REF!)</f>
        <v/>
      </c>
      <c r="E7" s="11" t="str">
        <f>IF(OR('TM-21 Inputs'!$I$19="",'TM-21 Inputs'!$I$21=""),"-",IF(OR('TM-21 Inputs'!Q11="",'TM-21 Inputs'!L11=""),"",IF(OR(AND('TM-21 Inputs'!$I$19&gt;=6000,'TM-21 Inputs'!$I$19&lt;=10000,'TM-21 Inputs'!Q11&gt;='TM-21 Inputs'!$I$19-5000),AND('TM-21 Inputs'!$I$19&gt;10000,OR('TM-21 Inputs'!Q11&gt;=0.5*'TM-21 Inputs'!$I$19,'TM-21 Inputs'!Q11=SMALL('TM-21 Inputs'!$Q$10:$Q$29,COUNTIF('TM-21 Inputs'!$Q$10:$Q$29,"&lt;"&amp;(0.5*'TM-21 Inputs'!$I$19)+1))))),'TM-21 Inputs'!Q11,"")))</f>
        <v/>
      </c>
      <c r="F7" s="12" t="str">
        <f>IF(E7="","",'TM-21 Inputs'!R11)</f>
        <v/>
      </c>
      <c r="G7" s="13" t="str">
        <f t="shared" ref="G7:G25" si="0">IF(E7="","",LN(F7))</f>
        <v/>
      </c>
      <c r="H7" s="14" t="str">
        <f t="shared" ref="H7:H25" si="1">IF(E7="","",(G7*E7))</f>
        <v/>
      </c>
      <c r="I7" s="37" t="str">
        <f t="shared" ref="I7:I25" si="2">IF(E7="","",E7^2)</f>
        <v/>
      </c>
      <c r="J7" s="38" t="str">
        <f t="shared" ref="J7:J25" si="3">IF(E7="","",E7*G7)</f>
        <v/>
      </c>
    </row>
    <row r="8" spans="4:10">
      <c r="D8" s="10" t="str">
        <f>IF(E8="","",'TM-21 Inputs'!#REF!)</f>
        <v/>
      </c>
      <c r="E8" s="11" t="str">
        <f>IF(OR('TM-21 Inputs'!$I$19="",'TM-21 Inputs'!$I$21=""),"-",IF(OR('TM-21 Inputs'!Q12="",'TM-21 Inputs'!L12=""),"",IF(OR(AND('TM-21 Inputs'!$I$19&gt;=6000,'TM-21 Inputs'!$I$19&lt;=10000,'TM-21 Inputs'!Q12&gt;='TM-21 Inputs'!$I$19-5000),AND('TM-21 Inputs'!$I$19&gt;10000,OR('TM-21 Inputs'!Q12&gt;=0.5*'TM-21 Inputs'!$I$19,'TM-21 Inputs'!Q12=SMALL('TM-21 Inputs'!$Q$10:$Q$29,COUNTIF('TM-21 Inputs'!$Q$10:$Q$29,"&lt;"&amp;(0.5*'TM-21 Inputs'!$I$19)+1))))),'TM-21 Inputs'!Q12,"")))</f>
        <v/>
      </c>
      <c r="F8" s="12" t="str">
        <f>IF(E8="","",'TM-21 Inputs'!R12)</f>
        <v/>
      </c>
      <c r="G8" s="13" t="str">
        <f t="shared" si="0"/>
        <v/>
      </c>
      <c r="H8" s="14" t="str">
        <f t="shared" si="1"/>
        <v/>
      </c>
      <c r="I8" s="37" t="str">
        <f t="shared" si="2"/>
        <v/>
      </c>
      <c r="J8" s="38" t="str">
        <f t="shared" si="3"/>
        <v/>
      </c>
    </row>
    <row r="9" spans="4:10">
      <c r="D9" s="10" t="str">
        <f>IF(E9="","",'TM-21 Inputs'!#REF!)</f>
        <v/>
      </c>
      <c r="E9" s="11" t="str">
        <f>IF(OR('TM-21 Inputs'!$I$19="",'TM-21 Inputs'!$I$21=""),"-",IF(OR('TM-21 Inputs'!Q13="",'TM-21 Inputs'!L13=""),"",IF(OR(AND('TM-21 Inputs'!$I$19&gt;=6000,'TM-21 Inputs'!$I$19&lt;=10000,'TM-21 Inputs'!Q13&gt;='TM-21 Inputs'!$I$19-5000),AND('TM-21 Inputs'!$I$19&gt;10000,OR('TM-21 Inputs'!Q13&gt;=0.5*'TM-21 Inputs'!$I$19,'TM-21 Inputs'!Q13=SMALL('TM-21 Inputs'!$Q$10:$Q$29,COUNTIF('TM-21 Inputs'!$Q$10:$Q$29,"&lt;"&amp;(0.5*'TM-21 Inputs'!$I$19)+1))))),'TM-21 Inputs'!Q13,"")))</f>
        <v/>
      </c>
      <c r="F9" s="12" t="str">
        <f>IF(E9="","",'TM-21 Inputs'!R13)</f>
        <v/>
      </c>
      <c r="G9" s="13" t="str">
        <f t="shared" si="0"/>
        <v/>
      </c>
      <c r="H9" s="14" t="str">
        <f t="shared" si="1"/>
        <v/>
      </c>
      <c r="I9" s="37" t="str">
        <f t="shared" si="2"/>
        <v/>
      </c>
      <c r="J9" s="38" t="str">
        <f t="shared" si="3"/>
        <v/>
      </c>
    </row>
    <row r="10" spans="4:10">
      <c r="D10" s="10" t="e">
        <f>IF(E10="","",'TM-21 Inputs'!#REF!)</f>
        <v>#REF!</v>
      </c>
      <c r="E10" s="11">
        <f>IF(OR('TM-21 Inputs'!$I$19="",'TM-21 Inputs'!$I$21=""),"-",IF(OR('TM-21 Inputs'!Q14="",'TM-21 Inputs'!L14=""),"",IF(OR(AND('TM-21 Inputs'!$I$19&gt;=6000,'TM-21 Inputs'!$I$19&lt;=10000,'TM-21 Inputs'!Q14&gt;='TM-21 Inputs'!$I$19-5000),AND('TM-21 Inputs'!$I$19&gt;10000,OR('TM-21 Inputs'!Q14&gt;=0.5*'TM-21 Inputs'!$I$19,'TM-21 Inputs'!Q14=SMALL('TM-21 Inputs'!$Q$10:$Q$29,COUNTIF('TM-21 Inputs'!$Q$10:$Q$29,"&lt;"&amp;(0.5*'TM-21 Inputs'!$I$19)+1))))),'TM-21 Inputs'!Q14,"")))</f>
        <v>5000</v>
      </c>
      <c r="F10" s="12">
        <f>IF(E10="","",'TM-21 Inputs'!R14)</f>
        <v>0.98360000000000003</v>
      </c>
      <c r="G10" s="13">
        <f t="shared" si="0"/>
        <v>-1.653596864009952E-2</v>
      </c>
      <c r="H10" s="14">
        <f t="shared" si="1"/>
        <v>-82.679843200497601</v>
      </c>
      <c r="I10" s="37">
        <f t="shared" si="2"/>
        <v>25000000</v>
      </c>
      <c r="J10" s="38">
        <f t="shared" si="3"/>
        <v>-82.679843200497601</v>
      </c>
    </row>
    <row r="11" spans="4:10">
      <c r="D11" s="10" t="e">
        <f>IF(E11="","",'TM-21 Inputs'!#REF!)</f>
        <v>#REF!</v>
      </c>
      <c r="E11" s="11">
        <f>IF(OR('TM-21 Inputs'!$I$19="",'TM-21 Inputs'!$I$21=""),"-",IF(OR('TM-21 Inputs'!Q15="",'TM-21 Inputs'!L15=""),"",IF(OR(AND('TM-21 Inputs'!$I$19&gt;=6000,'TM-21 Inputs'!$I$19&lt;=10000,'TM-21 Inputs'!Q15&gt;='TM-21 Inputs'!$I$19-5000),AND('TM-21 Inputs'!$I$19&gt;10000,OR('TM-21 Inputs'!Q15&gt;=0.5*'TM-21 Inputs'!$I$19,'TM-21 Inputs'!Q15=SMALL('TM-21 Inputs'!$Q$10:$Q$29,COUNTIF('TM-21 Inputs'!$Q$10:$Q$29,"&lt;"&amp;(0.5*'TM-21 Inputs'!$I$19)+1))))),'TM-21 Inputs'!Q15,"")))</f>
        <v>6000</v>
      </c>
      <c r="F11" s="12">
        <f>IF(E11="","",'TM-21 Inputs'!R15)</f>
        <v>0.98040000000000005</v>
      </c>
      <c r="G11" s="13">
        <f t="shared" si="0"/>
        <v>-1.9794627328179493E-2</v>
      </c>
      <c r="H11" s="14">
        <f t="shared" si="1"/>
        <v>-118.76776396907695</v>
      </c>
      <c r="I11" s="37">
        <f t="shared" si="2"/>
        <v>36000000</v>
      </c>
      <c r="J11" s="38">
        <f t="shared" si="3"/>
        <v>-118.76776396907695</v>
      </c>
    </row>
    <row r="12" spans="4:10">
      <c r="D12" s="10" t="e">
        <f>IF(E12="","",'TM-21 Inputs'!#REF!)</f>
        <v>#REF!</v>
      </c>
      <c r="E12" s="11">
        <f>IF(OR('TM-21 Inputs'!$I$19="",'TM-21 Inputs'!$I$21=""),"-",IF(OR('TM-21 Inputs'!Q16="",'TM-21 Inputs'!L16=""),"",IF(OR(AND('TM-21 Inputs'!$I$19&gt;=6000,'TM-21 Inputs'!$I$19&lt;=10000,'TM-21 Inputs'!Q16&gt;='TM-21 Inputs'!$I$19-5000),AND('TM-21 Inputs'!$I$19&gt;10000,OR('TM-21 Inputs'!Q16&gt;=0.5*'TM-21 Inputs'!$I$19,'TM-21 Inputs'!Q16=SMALL('TM-21 Inputs'!$Q$10:$Q$29,COUNTIF('TM-21 Inputs'!$Q$10:$Q$29,"&lt;"&amp;(0.5*'TM-21 Inputs'!$I$19)+1))))),'TM-21 Inputs'!Q16,"")))</f>
        <v>7000</v>
      </c>
      <c r="F12" s="12">
        <f>IF(E12="","",'TM-21 Inputs'!R16)</f>
        <v>0.97719999999999996</v>
      </c>
      <c r="G12" s="13">
        <f t="shared" si="0"/>
        <v>-2.3063939598551693E-2</v>
      </c>
      <c r="H12" s="14">
        <f t="shared" si="1"/>
        <v>-161.44757718986185</v>
      </c>
      <c r="I12" s="37">
        <f t="shared" si="2"/>
        <v>49000000</v>
      </c>
      <c r="J12" s="38">
        <f t="shared" si="3"/>
        <v>-161.44757718986185</v>
      </c>
    </row>
    <row r="13" spans="4:10">
      <c r="D13" s="10" t="e">
        <f>IF(E13="","",'TM-21 Inputs'!#REF!)</f>
        <v>#REF!</v>
      </c>
      <c r="E13" s="11">
        <f>IF(OR('TM-21 Inputs'!$I$19="",'TM-21 Inputs'!$I$21=""),"-",IF(OR('TM-21 Inputs'!Q17="",'TM-21 Inputs'!L17=""),"",IF(OR(AND('TM-21 Inputs'!$I$19&gt;=6000,'TM-21 Inputs'!$I$19&lt;=10000,'TM-21 Inputs'!Q17&gt;='TM-21 Inputs'!$I$19-5000),AND('TM-21 Inputs'!$I$19&gt;10000,OR('TM-21 Inputs'!Q17&gt;=0.5*'TM-21 Inputs'!$I$19,'TM-21 Inputs'!Q17=SMALL('TM-21 Inputs'!$Q$10:$Q$29,COUNTIF('TM-21 Inputs'!$Q$10:$Q$29,"&lt;"&amp;(0.5*'TM-21 Inputs'!$I$19)+1))))),'TM-21 Inputs'!Q17,"")))</f>
        <v>8000</v>
      </c>
      <c r="F13" s="12">
        <f>IF(E13="","",'TM-21 Inputs'!R17)</f>
        <v>0.97389999999999999</v>
      </c>
      <c r="G13" s="13">
        <f t="shared" si="0"/>
        <v>-2.6446650014983503E-2</v>
      </c>
      <c r="H13" s="14">
        <f t="shared" si="1"/>
        <v>-211.57320011986803</v>
      </c>
      <c r="I13" s="37">
        <f t="shared" si="2"/>
        <v>64000000</v>
      </c>
      <c r="J13" s="38">
        <f t="shared" si="3"/>
        <v>-211.57320011986803</v>
      </c>
    </row>
    <row r="14" spans="4:10">
      <c r="D14" s="10" t="e">
        <f>IF(E14="","",'TM-21 Inputs'!#REF!)</f>
        <v>#REF!</v>
      </c>
      <c r="E14" s="11">
        <f>IF(OR('TM-21 Inputs'!$I$19="",'TM-21 Inputs'!$I$21=""),"-",IF(OR('TM-21 Inputs'!Q18="",'TM-21 Inputs'!L18=""),"",IF(OR(AND('TM-21 Inputs'!$I$19&gt;=6000,'TM-21 Inputs'!$I$19&lt;=10000,'TM-21 Inputs'!Q18&gt;='TM-21 Inputs'!$I$19-5000),AND('TM-21 Inputs'!$I$19&gt;10000,OR('TM-21 Inputs'!Q18&gt;=0.5*'TM-21 Inputs'!$I$19,'TM-21 Inputs'!Q18=SMALL('TM-21 Inputs'!$Q$10:$Q$29,COUNTIF('TM-21 Inputs'!$Q$10:$Q$29,"&lt;"&amp;(0.5*'TM-21 Inputs'!$I$19)+1))))),'TM-21 Inputs'!Q18,"")))</f>
        <v>9000</v>
      </c>
      <c r="F14" s="12">
        <f>IF(E14="","",'TM-21 Inputs'!R18)</f>
        <v>0.97040000000000004</v>
      </c>
      <c r="G14" s="13">
        <f t="shared" si="0"/>
        <v>-3.0046921352296637E-2</v>
      </c>
      <c r="H14" s="14">
        <f t="shared" si="1"/>
        <v>-270.42229217066972</v>
      </c>
      <c r="I14" s="37">
        <f t="shared" si="2"/>
        <v>81000000</v>
      </c>
      <c r="J14" s="38">
        <f t="shared" si="3"/>
        <v>-270.42229217066972</v>
      </c>
    </row>
    <row r="15" spans="4:10">
      <c r="D15" s="10" t="e">
        <f>IF(E15="","",'TM-21 Inputs'!#REF!)</f>
        <v>#REF!</v>
      </c>
      <c r="E15" s="11">
        <f>IF(OR('TM-21 Inputs'!$I$19="",'TM-21 Inputs'!$I$21=""),"-",IF(OR('TM-21 Inputs'!Q19="",'TM-21 Inputs'!L19=""),"",IF(OR(AND('TM-21 Inputs'!$I$19&gt;=6000,'TM-21 Inputs'!$I$19&lt;=10000,'TM-21 Inputs'!Q19&gt;='TM-21 Inputs'!$I$19-5000),AND('TM-21 Inputs'!$I$19&gt;10000,OR('TM-21 Inputs'!Q19&gt;=0.5*'TM-21 Inputs'!$I$19,'TM-21 Inputs'!Q19=SMALL('TM-21 Inputs'!$Q$10:$Q$29,COUNTIF('TM-21 Inputs'!$Q$10:$Q$29,"&lt;"&amp;(0.5*'TM-21 Inputs'!$I$19)+1))))),'TM-21 Inputs'!Q19,"")))</f>
        <v>10000</v>
      </c>
      <c r="F15" s="12">
        <f>IF(E15="","",'TM-21 Inputs'!R19)</f>
        <v>0.96689999999999998</v>
      </c>
      <c r="G15" s="13">
        <f t="shared" si="0"/>
        <v>-3.3660201492635211E-2</v>
      </c>
      <c r="H15" s="14">
        <f t="shared" si="1"/>
        <v>-336.60201492635213</v>
      </c>
      <c r="I15" s="37">
        <f t="shared" si="2"/>
        <v>100000000</v>
      </c>
      <c r="J15" s="38">
        <f t="shared" si="3"/>
        <v>-336.60201492635213</v>
      </c>
    </row>
    <row r="16" spans="4:10">
      <c r="D16" s="10" t="str">
        <f>IF(E16="","",'TM-21 Inputs'!#REF!)</f>
        <v/>
      </c>
      <c r="E16" s="11" t="str">
        <f>IF(OR('TM-21 Inputs'!$I$19="",'TM-21 Inputs'!$I$21=""),"-",IF(OR('TM-21 Inputs'!Q20="",'TM-21 Inputs'!L20=""),"",IF(OR(AND('TM-21 Inputs'!$I$19&gt;=6000,'TM-21 Inputs'!$I$19&lt;=10000,'TM-21 Inputs'!Q20&gt;='TM-21 Inputs'!$I$19-5000),AND('TM-21 Inputs'!$I$19&gt;10000,OR('TM-21 Inputs'!Q20&gt;=0.5*'TM-21 Inputs'!$I$19,'TM-21 Inputs'!Q20=SMALL('TM-21 Inputs'!$Q$10:$Q$29,COUNTIF('TM-21 Inputs'!$Q$10:$Q$29,"&lt;"&amp;(0.5*'TM-21 Inputs'!$I$19)+1))))),'TM-21 Inputs'!Q20,"")))</f>
        <v/>
      </c>
      <c r="F16" s="12" t="str">
        <f>IF(E16="","",'TM-21 Inputs'!R20)</f>
        <v/>
      </c>
      <c r="G16" s="13" t="str">
        <f t="shared" si="0"/>
        <v/>
      </c>
      <c r="H16" s="14" t="str">
        <f t="shared" si="1"/>
        <v/>
      </c>
      <c r="I16" s="37" t="str">
        <f t="shared" si="2"/>
        <v/>
      </c>
      <c r="J16" s="38" t="str">
        <f t="shared" si="3"/>
        <v/>
      </c>
    </row>
    <row r="17" spans="4:10">
      <c r="D17" s="10" t="str">
        <f>IF(E17="","",'TM-21 Inputs'!#REF!)</f>
        <v/>
      </c>
      <c r="E17" s="11" t="str">
        <f>IF(OR('TM-21 Inputs'!$I$19="",'TM-21 Inputs'!$I$21=""),"-",IF(OR('TM-21 Inputs'!Q21="",'TM-21 Inputs'!L21=""),"",IF(OR(AND('TM-21 Inputs'!$I$19&gt;=6000,'TM-21 Inputs'!$I$19&lt;=10000,'TM-21 Inputs'!Q21&gt;='TM-21 Inputs'!$I$19-5000),AND('TM-21 Inputs'!$I$19&gt;10000,OR('TM-21 Inputs'!Q21&gt;=0.5*'TM-21 Inputs'!$I$19,'TM-21 Inputs'!Q21=SMALL('TM-21 Inputs'!$Q$10:$Q$29,COUNTIF('TM-21 Inputs'!$Q$10:$Q$29,"&lt;"&amp;(0.5*'TM-21 Inputs'!$I$19)+1))))),'TM-21 Inputs'!Q21,"")))</f>
        <v/>
      </c>
      <c r="F17" s="12" t="str">
        <f>IF(E17="","",'TM-21 Inputs'!R21)</f>
        <v/>
      </c>
      <c r="G17" s="13" t="str">
        <f t="shared" si="0"/>
        <v/>
      </c>
      <c r="H17" s="14" t="str">
        <f t="shared" si="1"/>
        <v/>
      </c>
      <c r="I17" s="37" t="str">
        <f t="shared" si="2"/>
        <v/>
      </c>
      <c r="J17" s="38" t="str">
        <f t="shared" si="3"/>
        <v/>
      </c>
    </row>
    <row r="18" spans="4:10">
      <c r="D18" s="10" t="str">
        <f>IF(E18="","",'TM-21 Inputs'!#REF!)</f>
        <v/>
      </c>
      <c r="E18" s="11" t="str">
        <f>IF(OR('TM-21 Inputs'!$I$19="",'TM-21 Inputs'!$I$21=""),"-",IF(OR('TM-21 Inputs'!Q22="",'TM-21 Inputs'!L22=""),"",IF(OR(AND('TM-21 Inputs'!$I$19&gt;=6000,'TM-21 Inputs'!$I$19&lt;=10000,'TM-21 Inputs'!Q22&gt;='TM-21 Inputs'!$I$19-5000),AND('TM-21 Inputs'!$I$19&gt;10000,OR('TM-21 Inputs'!Q22&gt;=0.5*'TM-21 Inputs'!$I$19,'TM-21 Inputs'!Q22=SMALL('TM-21 Inputs'!$Q$10:$Q$29,COUNTIF('TM-21 Inputs'!$Q$10:$Q$29,"&lt;"&amp;(0.5*'TM-21 Inputs'!$I$19)+1))))),'TM-21 Inputs'!Q22,"")))</f>
        <v/>
      </c>
      <c r="F18" s="12" t="str">
        <f>IF(E18="","",'TM-21 Inputs'!R22)</f>
        <v/>
      </c>
      <c r="G18" s="13" t="str">
        <f t="shared" si="0"/>
        <v/>
      </c>
      <c r="H18" s="14" t="str">
        <f t="shared" si="1"/>
        <v/>
      </c>
      <c r="I18" s="37" t="str">
        <f t="shared" si="2"/>
        <v/>
      </c>
      <c r="J18" s="38" t="str">
        <f t="shared" si="3"/>
        <v/>
      </c>
    </row>
    <row r="19" spans="4:10">
      <c r="D19" s="10" t="str">
        <f>IF(E19="","",'TM-21 Inputs'!#REF!)</f>
        <v/>
      </c>
      <c r="E19" s="11" t="str">
        <f>IF(OR('TM-21 Inputs'!$I$19="",'TM-21 Inputs'!$I$21=""),"-",IF(OR('TM-21 Inputs'!Q23="",'TM-21 Inputs'!L23=""),"",IF(OR(AND('TM-21 Inputs'!$I$19&gt;=6000,'TM-21 Inputs'!$I$19&lt;=10000,'TM-21 Inputs'!Q23&gt;='TM-21 Inputs'!$I$19-5000),AND('TM-21 Inputs'!$I$19&gt;10000,OR('TM-21 Inputs'!Q23&gt;=0.5*'TM-21 Inputs'!$I$19,'TM-21 Inputs'!Q23=SMALL('TM-21 Inputs'!$Q$10:$Q$29,COUNTIF('TM-21 Inputs'!$Q$10:$Q$29,"&lt;"&amp;(0.5*'TM-21 Inputs'!$I$19)+1))))),'TM-21 Inputs'!Q23,"")))</f>
        <v/>
      </c>
      <c r="F19" s="12" t="str">
        <f>IF(E19="","",'TM-21 Inputs'!R23)</f>
        <v/>
      </c>
      <c r="G19" s="13" t="str">
        <f t="shared" si="0"/>
        <v/>
      </c>
      <c r="H19" s="14" t="str">
        <f t="shared" si="1"/>
        <v/>
      </c>
      <c r="I19" s="37" t="str">
        <f t="shared" si="2"/>
        <v/>
      </c>
      <c r="J19" s="38" t="str">
        <f t="shared" si="3"/>
        <v/>
      </c>
    </row>
    <row r="20" spans="4:10">
      <c r="D20" s="10" t="str">
        <f>IF(E20="","",'TM-21 Inputs'!#REF!)</f>
        <v/>
      </c>
      <c r="E20" s="11" t="str">
        <f>IF(OR('TM-21 Inputs'!$I$19="",'TM-21 Inputs'!$I$21=""),"-",IF(OR('TM-21 Inputs'!Q24="",'TM-21 Inputs'!L24=""),"",IF(OR(AND('TM-21 Inputs'!$I$19&gt;=6000,'TM-21 Inputs'!$I$19&lt;=10000,'TM-21 Inputs'!Q24&gt;='TM-21 Inputs'!$I$19-5000),AND('TM-21 Inputs'!$I$19&gt;10000,OR('TM-21 Inputs'!Q24&gt;=0.5*'TM-21 Inputs'!$I$19,'TM-21 Inputs'!Q24=SMALL('TM-21 Inputs'!$Q$10:$Q$29,COUNTIF('TM-21 Inputs'!$Q$10:$Q$29,"&lt;"&amp;(0.5*'TM-21 Inputs'!$I$19)+1))))),'TM-21 Inputs'!Q24,"")))</f>
        <v/>
      </c>
      <c r="F20" s="12" t="str">
        <f>IF(E20="","",'TM-21 Inputs'!R24)</f>
        <v/>
      </c>
      <c r="G20" s="13" t="str">
        <f t="shared" si="0"/>
        <v/>
      </c>
      <c r="H20" s="14" t="str">
        <f t="shared" si="1"/>
        <v/>
      </c>
      <c r="I20" s="37" t="str">
        <f t="shared" si="2"/>
        <v/>
      </c>
      <c r="J20" s="38" t="str">
        <f t="shared" si="3"/>
        <v/>
      </c>
    </row>
    <row r="21" spans="4:10">
      <c r="D21" s="10" t="str">
        <f>IF(E21="","",'TM-21 Inputs'!#REF!)</f>
        <v/>
      </c>
      <c r="E21" s="11" t="str">
        <f>IF(OR('TM-21 Inputs'!$I$19="",'TM-21 Inputs'!$I$21=""),"-",IF(OR('TM-21 Inputs'!Q25="",'TM-21 Inputs'!L25=""),"",IF(OR(AND('TM-21 Inputs'!$I$19&gt;=6000,'TM-21 Inputs'!$I$19&lt;=10000,'TM-21 Inputs'!Q25&gt;='TM-21 Inputs'!$I$19-5000),AND('TM-21 Inputs'!$I$19&gt;10000,OR('TM-21 Inputs'!Q25&gt;=0.5*'TM-21 Inputs'!$I$19,'TM-21 Inputs'!Q25=SMALL('TM-21 Inputs'!$Q$10:$Q$29,COUNTIF('TM-21 Inputs'!$Q$10:$Q$29,"&lt;"&amp;(0.5*'TM-21 Inputs'!$I$19)+1))))),'TM-21 Inputs'!Q25,"")))</f>
        <v/>
      </c>
      <c r="F21" s="12" t="str">
        <f>IF(E21="","",'TM-21 Inputs'!R25)</f>
        <v/>
      </c>
      <c r="G21" s="13" t="str">
        <f t="shared" si="0"/>
        <v/>
      </c>
      <c r="H21" s="14" t="str">
        <f t="shared" si="1"/>
        <v/>
      </c>
      <c r="I21" s="37" t="str">
        <f t="shared" si="2"/>
        <v/>
      </c>
      <c r="J21" s="38" t="str">
        <f t="shared" si="3"/>
        <v/>
      </c>
    </row>
    <row r="22" spans="4:10">
      <c r="D22" s="10" t="str">
        <f>IF(E22="","",'TM-21 Inputs'!#REF!)</f>
        <v/>
      </c>
      <c r="E22" s="11" t="str">
        <f>IF(OR('TM-21 Inputs'!$I$19="",'TM-21 Inputs'!$I$21=""),"-",IF(OR('TM-21 Inputs'!Q26="",'TM-21 Inputs'!L26=""),"",IF(OR(AND('TM-21 Inputs'!$I$19&gt;=6000,'TM-21 Inputs'!$I$19&lt;=10000,'TM-21 Inputs'!Q26&gt;='TM-21 Inputs'!$I$19-5000),AND('TM-21 Inputs'!$I$19&gt;10000,OR('TM-21 Inputs'!Q26&gt;=0.5*'TM-21 Inputs'!$I$19,'TM-21 Inputs'!Q26=SMALL('TM-21 Inputs'!$Q$10:$Q$29,COUNTIF('TM-21 Inputs'!$Q$10:$Q$29,"&lt;"&amp;(0.5*'TM-21 Inputs'!$I$19)+1))))),'TM-21 Inputs'!Q26,"")))</f>
        <v/>
      </c>
      <c r="F22" s="12" t="str">
        <f>IF(E22="","",'TM-21 Inputs'!R26)</f>
        <v/>
      </c>
      <c r="G22" s="13" t="str">
        <f t="shared" si="0"/>
        <v/>
      </c>
      <c r="H22" s="14" t="str">
        <f t="shared" si="1"/>
        <v/>
      </c>
      <c r="I22" s="37" t="str">
        <f t="shared" si="2"/>
        <v/>
      </c>
      <c r="J22" s="38" t="str">
        <f t="shared" si="3"/>
        <v/>
      </c>
    </row>
    <row r="23" spans="4:10">
      <c r="D23" s="10" t="str">
        <f>IF(E23="","",'TM-21 Inputs'!#REF!)</f>
        <v/>
      </c>
      <c r="E23" s="11" t="str">
        <f>IF(OR('TM-21 Inputs'!$I$19="",'TM-21 Inputs'!$I$21=""),"-",IF(OR('TM-21 Inputs'!Q27="",'TM-21 Inputs'!L27=""),"",IF(OR(AND('TM-21 Inputs'!$I$19&gt;=6000,'TM-21 Inputs'!$I$19&lt;=10000,'TM-21 Inputs'!Q27&gt;='TM-21 Inputs'!$I$19-5000),AND('TM-21 Inputs'!$I$19&gt;10000,OR('TM-21 Inputs'!Q27&gt;=0.5*'TM-21 Inputs'!$I$19,'TM-21 Inputs'!Q27=SMALL('TM-21 Inputs'!$Q$10:$Q$29,COUNTIF('TM-21 Inputs'!$Q$10:$Q$29,"&lt;"&amp;(0.5*'TM-21 Inputs'!$I$19)+1))))),'TM-21 Inputs'!Q27,"")))</f>
        <v/>
      </c>
      <c r="F23" s="12" t="str">
        <f>IF(E23="","",'TM-21 Inputs'!R27)</f>
        <v/>
      </c>
      <c r="G23" s="13" t="str">
        <f t="shared" si="0"/>
        <v/>
      </c>
      <c r="H23" s="14" t="str">
        <f t="shared" si="1"/>
        <v/>
      </c>
      <c r="I23" s="37" t="str">
        <f t="shared" si="2"/>
        <v/>
      </c>
      <c r="J23" s="38" t="str">
        <f t="shared" si="3"/>
        <v/>
      </c>
    </row>
    <row r="24" spans="4:10">
      <c r="D24" s="10" t="str">
        <f>IF(E24="","",'TM-21 Inputs'!#REF!)</f>
        <v/>
      </c>
      <c r="E24" s="11" t="str">
        <f>IF(OR('TM-21 Inputs'!$I$19="",'TM-21 Inputs'!$I$21=""),"-",IF(OR('TM-21 Inputs'!Q28="",'TM-21 Inputs'!L28=""),"",IF(OR(AND('TM-21 Inputs'!$I$19&gt;=6000,'TM-21 Inputs'!$I$19&lt;=10000,'TM-21 Inputs'!Q28&gt;='TM-21 Inputs'!$I$19-5000),AND('TM-21 Inputs'!$I$19&gt;10000,OR('TM-21 Inputs'!Q28&gt;=0.5*'TM-21 Inputs'!$I$19,'TM-21 Inputs'!Q28=SMALL('TM-21 Inputs'!$Q$10:$Q$29,COUNTIF('TM-21 Inputs'!$Q$10:$Q$29,"&lt;"&amp;(0.5*'TM-21 Inputs'!$I$19)+1))))),'TM-21 Inputs'!Q28,"")))</f>
        <v/>
      </c>
      <c r="F24" s="12" t="str">
        <f>IF(E24="","",'TM-21 Inputs'!R28)</f>
        <v/>
      </c>
      <c r="G24" s="13" t="str">
        <f t="shared" si="0"/>
        <v/>
      </c>
      <c r="H24" s="14" t="str">
        <f t="shared" si="1"/>
        <v/>
      </c>
      <c r="I24" s="37" t="str">
        <f t="shared" si="2"/>
        <v/>
      </c>
      <c r="J24" s="38" t="str">
        <f t="shared" si="3"/>
        <v/>
      </c>
    </row>
    <row r="25" spans="4:10">
      <c r="D25" s="15" t="str">
        <f>IF(E25="","",'TM-21 Inputs'!#REF!)</f>
        <v/>
      </c>
      <c r="E25" s="16" t="str">
        <f>IF(OR('TM-21 Inputs'!$I$19="",'TM-21 Inputs'!$I$21=""),"-",IF(OR('TM-21 Inputs'!Q29="",'TM-21 Inputs'!L29=""),"",IF(OR(AND('TM-21 Inputs'!$I$19&gt;=6000,'TM-21 Inputs'!$I$19&lt;=10000,'TM-21 Inputs'!Q29&gt;='TM-21 Inputs'!$I$19-5000),AND('TM-21 Inputs'!$I$19&gt;10000,OR('TM-21 Inputs'!Q29&gt;=0.5*'TM-21 Inputs'!$I$19,'TM-21 Inputs'!Q29=SMALL('TM-21 Inputs'!$Q$10:$Q$29,COUNTIF('TM-21 Inputs'!$Q$10:$Q$29,"&lt;"&amp;(0.5*'TM-21 Inputs'!$I$19)+1))))),'TM-21 Inputs'!Q29,"")))</f>
        <v/>
      </c>
      <c r="F25" s="17" t="str">
        <f>IF(E25="","",'TM-21 Inputs'!R29)</f>
        <v/>
      </c>
      <c r="G25" s="18" t="str">
        <f t="shared" si="0"/>
        <v/>
      </c>
      <c r="H25" s="19" t="str">
        <f t="shared" si="1"/>
        <v/>
      </c>
      <c r="I25" s="39" t="str">
        <f t="shared" si="2"/>
        <v/>
      </c>
      <c r="J25" s="40" t="str">
        <f t="shared" si="3"/>
        <v/>
      </c>
    </row>
    <row r="26" spans="4:10">
      <c r="D26" s="20" t="s">
        <v>98</v>
      </c>
      <c r="E26" s="21">
        <f t="shared" ref="E26:J26" si="4">SUM(E6:E25)</f>
        <v>45000</v>
      </c>
      <c r="F26" s="22">
        <f t="shared" si="4"/>
        <v>5.8523999999999994</v>
      </c>
      <c r="G26" s="23">
        <f t="shared" si="4"/>
        <v>-0.14954830842674605</v>
      </c>
      <c r="H26" s="24">
        <f t="shared" si="4"/>
        <v>-1181.4926915763263</v>
      </c>
      <c r="I26" s="41">
        <f t="shared" si="4"/>
        <v>355000000</v>
      </c>
      <c r="J26" s="42">
        <f t="shared" si="4"/>
        <v>-1181.4926915763263</v>
      </c>
    </row>
    <row r="28" spans="4:10" ht="14.25">
      <c r="E28" s="298" t="s">
        <v>22</v>
      </c>
      <c r="F28" s="300"/>
    </row>
    <row r="29" spans="4:10">
      <c r="E29" s="25" t="s">
        <v>99</v>
      </c>
      <c r="F29" s="26">
        <f>IF('TM-21 Inputs'!I23="","",((COUNTIF(E6:E25,"&gt;"&amp;0)*H26-(E26*G26))/((COUNTIF(E6:E25,"&gt;"&amp;0)*I26)-(E26^2))))</f>
        <v>-3.4217359071846224E-6</v>
      </c>
    </row>
    <row r="30" spans="4:10">
      <c r="E30" s="27" t="s">
        <v>100</v>
      </c>
      <c r="F30" s="28">
        <f>IF('TM-21 Inputs'!I23="","",(G26-(F29*E26))/COUNTIF(E6:E25,"&gt;"&amp;0))</f>
        <v>7.3830123276032633E-4</v>
      </c>
    </row>
    <row r="31" spans="4:10" ht="15">
      <c r="E31" s="29" t="s">
        <v>58</v>
      </c>
      <c r="F31" s="28">
        <f>IF('TM-21 Inputs'!I23="","",-F29)</f>
        <v>3.4217359071846224E-6</v>
      </c>
    </row>
    <row r="32" spans="4:10">
      <c r="E32" s="27" t="s">
        <v>59</v>
      </c>
      <c r="F32" s="28">
        <f>IF('TM-21 Inputs'!I23="","",EXP(F30))</f>
        <v>1.0007385738442012</v>
      </c>
    </row>
    <row r="33" spans="5:6" ht="30" customHeight="1">
      <c r="E33" s="30" t="str">
        <f>CONCATENATE("Calculated L",'TM-21 Inputs'!I35," (hrs):")</f>
        <v>Calculated L90 (hrs):</v>
      </c>
      <c r="F33" s="31">
        <f>IF('TM-21 Inputs'!I23="","",ROUND((LN(F32/('TM-21 Inputs'!$I$35/100))/F31),-3))</f>
        <v>31000</v>
      </c>
    </row>
    <row r="34" spans="5:6" ht="30" customHeight="1">
      <c r="E34" s="32" t="str">
        <f>CONCATENATE("Reported L",'TM-21 Inputs'!I35," (hrs):")</f>
        <v>Reported L90 (hrs):</v>
      </c>
      <c r="F34" s="33">
        <f>IF('TM-21 Inputs'!I23="","",IF(OR(AND('TM-21 Inputs'!$I$18&gt;=20,$F$33&lt;6*'TM-21 Inputs'!$I$19),AND('TM-21 Inputs'!$I$18&gt;=10,'TM-21 Inputs'!$I$18&lt;=19,$F$33&lt;5.5*'TM-21 Inputs'!$I$19)),ROUND(F33,-3),IF('TM-21 Inputs'!$I$18&gt;=20,CONCATENATE("&gt;",ROUND((6*'TM-21 Inputs'!$I$19),-3)),IF(AND('TM-21 Inputs'!$I$18&gt;=10,'TM-21 Inputs'!$I$18&lt;=19),CONCATENATE("&gt;",ROUND((5.5*'TM-21 Inputs'!$I$19),-3)),"error"))))</f>
        <v>31000</v>
      </c>
    </row>
  </sheetData>
  <sheetProtection password="C696" sheet="1" objects="1" scenarios="1"/>
  <mergeCells count="2">
    <mergeCell ref="D4:J4"/>
    <mergeCell ref="E28:F28"/>
  </mergeCells>
  <pageMargins left="0.69930555555555596" right="0.69930555555555596" top="0.75" bottom="0.75" header="0.3" footer="0.3"/>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rev. 020712</vt:lpstr>
      <vt:lpstr>TM-21 Inputs</vt:lpstr>
      <vt:lpstr>Product Inputs</vt:lpstr>
      <vt:lpstr>TM-21 Projection</vt:lpstr>
      <vt:lpstr>TM-21 Report</vt:lpstr>
      <vt:lpstr>Hide when public ==&gt;</vt:lpstr>
      <vt:lpstr>Calculations - Case Temp 1</vt:lpstr>
      <vt:lpstr>Calculations - Case Temp 2</vt:lpstr>
      <vt:lpstr>Calculations - Case Temp 3</vt:lpstr>
      <vt:lpstr>'TM-21 Inputs'!Afdrukbereik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Jack</cp:lastModifiedBy>
  <cp:lastPrinted>2013-10-30T06:35:00Z</cp:lastPrinted>
  <dcterms:created xsi:type="dcterms:W3CDTF">2014-02-17T08:40:00Z</dcterms:created>
  <dcterms:modified xsi:type="dcterms:W3CDTF">2022-09-19T12:46:13Z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0A85B4983A4A495394246198F489AA67</vt:lpwstr>
  </property>
</Properties>
</file>